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560" tabRatio="791" activeTab="0"/>
  </bookViews>
  <sheets>
    <sheet name="Смета" sheetId="1" r:id="rId1"/>
    <sheet name="психолог" sheetId="2" r:id="rId2"/>
    <sheet name="психолог (2)" sheetId="3" r:id="rId3"/>
    <sheet name="хореогр" sheetId="4" r:id="rId4"/>
    <sheet name="гимнастика" sheetId="5" r:id="rId5"/>
    <sheet name="гимнастика (индивидуальн)" sheetId="6" r:id="rId6"/>
    <sheet name="обучение чтению" sheetId="7" r:id="rId7"/>
    <sheet name="Рисование" sheetId="8" r:id="rId8"/>
    <sheet name="Логопед " sheetId="9" r:id="rId9"/>
    <sheet name="Логопед  (индив)" sheetId="10" r:id="rId10"/>
    <sheet name="Дс зп" sheetId="11" r:id="rId11"/>
    <sheet name="Комму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<sst xmlns="http://schemas.openxmlformats.org/spreadsheetml/2006/main" count="718" uniqueCount="187">
  <si>
    <t>Итого</t>
  </si>
  <si>
    <t>З/пл АУП</t>
  </si>
  <si>
    <t xml:space="preserve">Коммунальные </t>
  </si>
  <si>
    <t>Заведующий</t>
  </si>
  <si>
    <t>Заместитель заведующего по учебно-воспитательной работе</t>
  </si>
  <si>
    <t>Заместитель заведующего по административно-хозяйственной работе</t>
  </si>
  <si>
    <t>Старший воспитатель</t>
  </si>
  <si>
    <t>Секретарь</t>
  </si>
  <si>
    <t>Младший воспитатель</t>
  </si>
  <si>
    <t>Специалист по охране труда</t>
  </si>
  <si>
    <t>Старшая медицинская сестра</t>
  </si>
  <si>
    <t>Медицинская сестра</t>
  </si>
  <si>
    <t>Начальник хозяйственного отдела</t>
  </si>
  <si>
    <t>Заведующий хозяйством</t>
  </si>
  <si>
    <t>Шеф-повар</t>
  </si>
  <si>
    <t>Повар</t>
  </si>
  <si>
    <t>Кухонный рабочий</t>
  </si>
  <si>
    <t>Кладовщик</t>
  </si>
  <si>
    <t>Кастелянша</t>
  </si>
  <si>
    <t>Машинист по стирке и ремонту спецодежды и белья</t>
  </si>
  <si>
    <t>Рабочий по комплексному обслуживанию  и ремонту зданий</t>
  </si>
  <si>
    <t>Уборщик служебных помещений</t>
  </si>
  <si>
    <t>Дворник</t>
  </si>
  <si>
    <t>Сторож</t>
  </si>
  <si>
    <t>расходы в час</t>
  </si>
  <si>
    <t xml:space="preserve"> стимулирующие выплаты 33%</t>
  </si>
  <si>
    <t>Вреднсть 4%</t>
  </si>
  <si>
    <t>Оклад</t>
  </si>
  <si>
    <t>Среднее кол-во часов работы в мес</t>
  </si>
  <si>
    <t>Норма часов работы в неделю</t>
  </si>
  <si>
    <t>Стоимость часа занятий с учетом налогов</t>
  </si>
  <si>
    <t>Показатель</t>
  </si>
  <si>
    <t>Социальная норма в мес</t>
  </si>
  <si>
    <t>Электроэнергия кВт/ч</t>
  </si>
  <si>
    <t>Водоснабжение, водоотведение м куб</t>
  </si>
  <si>
    <t>Натур показатель в час</t>
  </si>
  <si>
    <t>ДС</t>
  </si>
  <si>
    <t>СОШ</t>
  </si>
  <si>
    <t>ДОП</t>
  </si>
  <si>
    <t xml:space="preserve"> кол-во часов в мес</t>
  </si>
  <si>
    <t>кол-во часов в сут</t>
  </si>
  <si>
    <t>Суточная норма потребления воды, л</t>
  </si>
  <si>
    <t>Суточная норма потребления воды и водоотведения, м куб</t>
  </si>
  <si>
    <t>Расходы в час на услугу, руб.</t>
  </si>
  <si>
    <t>Тариф водоотведения, руб.</t>
  </si>
  <si>
    <t>Норма потребления водопотребления и водоотведения в бассейне на 1 посетителя м куб/час</t>
  </si>
  <si>
    <t>Норма расхода воды в душе на 1 посещение бассейна = 2 раза* 5мин* 15 л/мин*0,001</t>
  </si>
  <si>
    <t>Тариф водопотребления, руб.</t>
  </si>
  <si>
    <t>Тариф, руб.</t>
  </si>
  <si>
    <t>тарифы на 01.07.15г.</t>
  </si>
  <si>
    <t>Бассейн</t>
  </si>
  <si>
    <t>холодная</t>
  </si>
  <si>
    <t>Холодная</t>
  </si>
  <si>
    <t>Горячая</t>
  </si>
  <si>
    <t>Расчеты для потребления воды 30 градусов при соотношении холодной 15 гр  73%, горячей 60 гр 27%</t>
  </si>
  <si>
    <t>Норма потребления воды и водоотведения в душевых, м куб/ч</t>
  </si>
  <si>
    <t>Воспитатель, Педагог-психолог</t>
  </si>
  <si>
    <t>Расчет расходов на коммунальные услуги в час</t>
  </si>
  <si>
    <t>Учитель</t>
  </si>
  <si>
    <t>Учитель-логопед, учитель-дефектолог</t>
  </si>
  <si>
    <t>Стоимость часа занятий с учетом налогов, коррекция</t>
  </si>
  <si>
    <t>За специфику %</t>
  </si>
  <si>
    <t>За специфику руб</t>
  </si>
  <si>
    <t>Должность</t>
  </si>
  <si>
    <t>Расчет оплаты труда в час в ДС</t>
  </si>
  <si>
    <t>З/пл обслуживающего персонала</t>
  </si>
  <si>
    <t>всего</t>
  </si>
  <si>
    <t>-</t>
  </si>
  <si>
    <t>З/пл основного работника</t>
  </si>
  <si>
    <t>Инструктор по физкультуре</t>
  </si>
  <si>
    <t>Музыкальный руководитель</t>
  </si>
  <si>
    <t>Направление расходов</t>
  </si>
  <si>
    <t>Кол-во услуг</t>
  </si>
  <si>
    <t>Стоимость услуг в месяц, руб</t>
  </si>
  <si>
    <t>Калькуляция</t>
  </si>
  <si>
    <t>Направление расхода</t>
  </si>
  <si>
    <t>КОСГУ</t>
  </si>
  <si>
    <t>Сумма, тыс. руб.</t>
  </si>
  <si>
    <t>Увеличение материальных запасов</t>
  </si>
  <si>
    <t>340-470</t>
  </si>
  <si>
    <t>340-490</t>
  </si>
  <si>
    <t>Итого расходов</t>
  </si>
  <si>
    <t>канцтовары</t>
  </si>
  <si>
    <t>хозяйственные расходы</t>
  </si>
  <si>
    <t>Кол-во мес услуг</t>
  </si>
  <si>
    <t>часов в неделю</t>
  </si>
  <si>
    <t xml:space="preserve"> часов в месяц</t>
  </si>
  <si>
    <t>Смета</t>
  </si>
  <si>
    <t>Кол-во учебных недель</t>
  </si>
  <si>
    <t>223-450</t>
  </si>
  <si>
    <t>223-460</t>
  </si>
  <si>
    <t>электроэнергия</t>
  </si>
  <si>
    <t>водоснабжение</t>
  </si>
  <si>
    <t>налоги</t>
  </si>
  <si>
    <t>фот</t>
  </si>
  <si>
    <t>з/пл</t>
  </si>
  <si>
    <t>% в стоимость</t>
  </si>
  <si>
    <t>детализация</t>
  </si>
  <si>
    <t>заправка картриджей</t>
  </si>
  <si>
    <t>Содержание имущества</t>
  </si>
  <si>
    <t>оплата труда с налогами</t>
  </si>
  <si>
    <t>изготовление квитанций</t>
  </si>
  <si>
    <t>Прочие услуги</t>
  </si>
  <si>
    <t>приобретение медикаментов</t>
  </si>
  <si>
    <t>приобретение мягкого инвентаря</t>
  </si>
  <si>
    <t>расходные материалы</t>
  </si>
  <si>
    <t>340-000</t>
  </si>
  <si>
    <t>Кол-во месяцев</t>
  </si>
  <si>
    <t>Доходы, тыс. руб.</t>
  </si>
  <si>
    <t>кол-во месяцев</t>
  </si>
  <si>
    <t>стоимость услуги в месяц</t>
  </si>
  <si>
    <t>% на оплату труда</t>
  </si>
  <si>
    <t>кол-во услуг</t>
  </si>
  <si>
    <t>всего оплата труда</t>
  </si>
  <si>
    <t xml:space="preserve">Кол-во часов платных услуг </t>
  </si>
  <si>
    <t>учебные %</t>
  </si>
  <si>
    <t>рентабельность %</t>
  </si>
  <si>
    <t>всего стоимость</t>
  </si>
  <si>
    <t>Начальник хозяйственной части</t>
  </si>
  <si>
    <t>налоги 27,1%</t>
  </si>
  <si>
    <t xml:space="preserve">в мес </t>
  </si>
  <si>
    <t>Коэффициент</t>
  </si>
  <si>
    <t>Стоимость в месяц</t>
  </si>
  <si>
    <t>кол-во детей в группе</t>
  </si>
  <si>
    <t>Кол-во часов всего</t>
  </si>
  <si>
    <t>Согласовано</t>
  </si>
  <si>
    <t>Председатель Комитета по образованию</t>
  </si>
  <si>
    <t>на платные дополнительные образовательные услуги</t>
  </si>
  <si>
    <t>Хореография</t>
  </si>
  <si>
    <t xml:space="preserve">                  </t>
  </si>
  <si>
    <t>Педагог-психолог</t>
  </si>
  <si>
    <t>по МБДОУ Дс № 36</t>
  </si>
  <si>
    <t>Заведующий МБДОУ Дс № 36_______________________Л.Г.Киреева</t>
  </si>
  <si>
    <t>Заведующий МБДОУ Дс №36_______________________Л.Г.Киреева</t>
  </si>
  <si>
    <t>Оздоровительная гимнастика</t>
  </si>
  <si>
    <t>Инструктор по физ.культуре</t>
  </si>
  <si>
    <t>Инструктор по ф/к</t>
  </si>
  <si>
    <t>Обучение чтению</t>
  </si>
  <si>
    <t>Преподаватель</t>
  </si>
  <si>
    <t>Рисование</t>
  </si>
  <si>
    <t xml:space="preserve">по МБДОУ Дс №36 </t>
  </si>
  <si>
    <t xml:space="preserve"> </t>
  </si>
  <si>
    <t>Педагог</t>
  </si>
  <si>
    <t>ремонт оборудования</t>
  </si>
  <si>
    <t>по МБДОУ Дс №36</t>
  </si>
  <si>
    <t>Коррекция речи " Умный язычок"</t>
  </si>
  <si>
    <t>Основные расходы</t>
  </si>
  <si>
    <t>763 0701 1010099010</t>
  </si>
  <si>
    <t>Ком. расходы</t>
  </si>
  <si>
    <t>обучение на курсах</t>
  </si>
  <si>
    <t>Налоги,штрафы,оргвзносы</t>
  </si>
  <si>
    <t>Материально-техническое обеспечение</t>
  </si>
  <si>
    <t>763 0701 1010099040</t>
  </si>
  <si>
    <t>Приобретение мебели</t>
  </si>
  <si>
    <t>Капитальный ремонт</t>
  </si>
  <si>
    <t>763 0701 1010099030</t>
  </si>
  <si>
    <t>строительный материал,сантехника</t>
  </si>
  <si>
    <t>Иные цели</t>
  </si>
  <si>
    <t>СОУТ</t>
  </si>
  <si>
    <t>Пожарная безопасность</t>
  </si>
  <si>
    <t>763 0701 1400099010</t>
  </si>
  <si>
    <t>Поверка пожарного оборудования</t>
  </si>
  <si>
    <t>Перезарядка огнетушителей</t>
  </si>
  <si>
    <t>763 0701 1400099040</t>
  </si>
  <si>
    <t>Приобретение огнетушителей</t>
  </si>
  <si>
    <t>Приобретение знаков,стендов</t>
  </si>
  <si>
    <t>763 0701 1400099050</t>
  </si>
  <si>
    <t>Изготовление знаков ,стендов</t>
  </si>
  <si>
    <t>на 2017-2018 учебный год</t>
  </si>
  <si>
    <t>Оздоровительная гимнастика (индивидуальные занятия)</t>
  </si>
  <si>
    <t>Учитель-логопед</t>
  </si>
  <si>
    <t>763 0701 1010099050</t>
  </si>
  <si>
    <t>МБДОУ Д/сад - 36</t>
  </si>
  <si>
    <t>Приобретение уч.оборудования</t>
  </si>
  <si>
    <t>замена окон</t>
  </si>
  <si>
    <t>Стиральная машинка</t>
  </si>
  <si>
    <t>Заведующий МБДОУ Дс №36 _____________________Л.Г.Киреева</t>
  </si>
  <si>
    <t>_____________________Ю.А.Бачурин</t>
  </si>
  <si>
    <t>на 2018-2019 учебный год</t>
  </si>
  <si>
    <t>доходов и расходов по внебюджетным средствам на 2019год</t>
  </si>
  <si>
    <t>Развитие интеллектуально-исследовательской деятельности</t>
  </si>
  <si>
    <t>Консультация педагога-психолога</t>
  </si>
  <si>
    <t>пылесосы</t>
  </si>
  <si>
    <t>магнитофоны</t>
  </si>
  <si>
    <t>ремонт цоколя</t>
  </si>
  <si>
    <t>музыкальный центр</t>
  </si>
  <si>
    <t>коммунальные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</si>
</sst>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"/>
    <numFmt numFmtId="170" formatCode="[$-FC19]d\ mmmm\ yyyy\ &quot;г.&quot;"/>
    <numFmt numFmtId="171" formatCode="#,##0.0"/>
    <numFmt numFmtId="172" formatCode="#,##0.000"/>
    <numFmt numFmtId="173" formatCode="#,##0.0000"/>
    <numFmt numFmtId="174" formatCode="#,##0.00000"/>
    <numFmt numFmtId="175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171" fontId="3" fillId="0" borderId="10" xfId="56" applyNumberFormat="1" applyFont="1" applyBorder="1" applyAlignment="1">
      <alignment horizontal="right" vertical="center"/>
      <protection/>
    </xf>
    <xf numFmtId="3" fontId="3" fillId="0" borderId="10" xfId="56" applyNumberFormat="1" applyFont="1" applyFill="1" applyBorder="1" applyAlignment="1">
      <alignment horizontal="right" vertical="center"/>
      <protection/>
    </xf>
    <xf numFmtId="3" fontId="3" fillId="0" borderId="10" xfId="56" applyNumberFormat="1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4" fontId="3" fillId="0" borderId="10" xfId="56" applyNumberFormat="1" applyFont="1" applyBorder="1" applyAlignment="1">
      <alignment horizontal="right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" fontId="3" fillId="0" borderId="0" xfId="56" applyNumberFormat="1" applyFont="1">
      <alignment/>
      <protection/>
    </xf>
    <xf numFmtId="3" fontId="3" fillId="0" borderId="0" xfId="56" applyNumberFormat="1" applyFont="1" applyBorder="1" applyAlignment="1">
      <alignment horizontal="center" vertical="center" wrapText="1"/>
      <protection/>
    </xf>
    <xf numFmtId="3" fontId="3" fillId="0" borderId="0" xfId="56" applyNumberFormat="1" applyFont="1" applyFill="1" applyBorder="1" applyAlignment="1">
      <alignment horizontal="left" vertical="center" wrapText="1"/>
      <protection/>
    </xf>
    <xf numFmtId="3" fontId="3" fillId="0" borderId="0" xfId="56" applyNumberFormat="1" applyFont="1" applyBorder="1" applyAlignment="1">
      <alignment horizontal="left" vertical="center" wrapText="1"/>
      <protection/>
    </xf>
    <xf numFmtId="171" fontId="3" fillId="0" borderId="10" xfId="56" applyNumberFormat="1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right" vertical="center" wrapText="1"/>
      <protection/>
    </xf>
    <xf numFmtId="4" fontId="3" fillId="0" borderId="10" xfId="56" applyNumberFormat="1" applyFont="1" applyBorder="1" applyAlignment="1">
      <alignment horizontal="right" vertical="center" wrapText="1"/>
      <protection/>
    </xf>
    <xf numFmtId="4" fontId="3" fillId="0" borderId="0" xfId="56" applyNumberFormat="1" applyFont="1" applyAlignment="1">
      <alignment horizontal="right" vertical="center" wrapText="1"/>
      <protection/>
    </xf>
    <xf numFmtId="171" fontId="3" fillId="0" borderId="10" xfId="56" applyNumberFormat="1" applyFont="1" applyBorder="1" applyAlignment="1">
      <alignment vertical="center" wrapText="1"/>
      <protection/>
    </xf>
    <xf numFmtId="3" fontId="3" fillId="0" borderId="10" xfId="56" applyNumberFormat="1" applyFont="1" applyBorder="1" applyAlignment="1">
      <alignment vertical="center" wrapText="1"/>
      <protection/>
    </xf>
    <xf numFmtId="4" fontId="3" fillId="0" borderId="10" xfId="56" applyNumberFormat="1" applyFont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172" fontId="3" fillId="0" borderId="10" xfId="56" applyNumberFormat="1" applyFont="1" applyBorder="1" applyAlignment="1">
      <alignment horizontal="right" vertical="center" wrapText="1"/>
      <protection/>
    </xf>
    <xf numFmtId="4" fontId="3" fillId="0" borderId="0" xfId="56" applyNumberFormat="1" applyFont="1" applyBorder="1" applyAlignment="1">
      <alignment horizontal="right" vertical="center" wrapText="1"/>
      <protection/>
    </xf>
    <xf numFmtId="0" fontId="3" fillId="33" borderId="0" xfId="56" applyFont="1" applyFill="1" applyAlignment="1">
      <alignment horizontal="left" vertical="center" wrapText="1"/>
      <protection/>
    </xf>
    <xf numFmtId="0" fontId="3" fillId="0" borderId="0" xfId="56" applyFont="1" applyBorder="1">
      <alignment/>
      <protection/>
    </xf>
    <xf numFmtId="0" fontId="3" fillId="0" borderId="10" xfId="56" applyFont="1" applyBorder="1">
      <alignment/>
      <protection/>
    </xf>
    <xf numFmtId="3" fontId="3" fillId="0" borderId="10" xfId="56" applyNumberFormat="1" applyFont="1" applyBorder="1" applyAlignment="1">
      <alignment horizontal="left" vertical="center" wrapText="1"/>
      <protection/>
    </xf>
    <xf numFmtId="172" fontId="3" fillId="0" borderId="10" xfId="56" applyNumberFormat="1" applyFont="1" applyBorder="1" applyAlignment="1">
      <alignment vertical="center" wrapText="1"/>
      <protection/>
    </xf>
    <xf numFmtId="3" fontId="3" fillId="13" borderId="10" xfId="56" applyNumberFormat="1" applyFont="1" applyFill="1" applyBorder="1" applyAlignment="1">
      <alignment vertical="center" wrapText="1"/>
      <protection/>
    </xf>
    <xf numFmtId="172" fontId="3" fillId="13" borderId="10" xfId="56" applyNumberFormat="1" applyFont="1" applyFill="1" applyBorder="1" applyAlignment="1">
      <alignment horizontal="right" vertical="center" wrapText="1"/>
      <protection/>
    </xf>
    <xf numFmtId="4" fontId="3" fillId="13" borderId="10" xfId="56" applyNumberFormat="1" applyFont="1" applyFill="1" applyBorder="1" applyAlignment="1">
      <alignment horizontal="right" vertical="center" wrapText="1"/>
      <protection/>
    </xf>
    <xf numFmtId="3" fontId="3" fillId="13" borderId="10" xfId="56" applyNumberFormat="1" applyFont="1" applyFill="1" applyBorder="1" applyAlignment="1">
      <alignment horizontal="left" vertical="center" wrapText="1"/>
      <protection/>
    </xf>
    <xf numFmtId="0" fontId="3" fillId="13" borderId="10" xfId="56" applyFont="1" applyFill="1" applyBorder="1" applyAlignment="1">
      <alignment horizontal="center" vertical="center" wrapText="1"/>
      <protection/>
    </xf>
    <xf numFmtId="0" fontId="3" fillId="13" borderId="10" xfId="56" applyFont="1" applyFill="1" applyBorder="1" applyAlignment="1">
      <alignment vertical="center" wrapText="1"/>
      <protection/>
    </xf>
    <xf numFmtId="171" fontId="5" fillId="0" borderId="10" xfId="56" applyNumberFormat="1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175" fontId="3" fillId="0" borderId="10" xfId="56" applyNumberFormat="1" applyFont="1" applyBorder="1" applyAlignment="1">
      <alignment horizontal="righ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5" fillId="13" borderId="10" xfId="56" applyFont="1" applyFill="1" applyBorder="1" applyAlignment="1">
      <alignment horizontal="center" vertical="center" wrapText="1"/>
      <protection/>
    </xf>
    <xf numFmtId="4" fontId="3" fillId="13" borderId="10" xfId="56" applyNumberFormat="1" applyFont="1" applyFill="1" applyBorder="1" applyAlignment="1">
      <alignment horizontal="right" vertical="center"/>
      <protection/>
    </xf>
    <xf numFmtId="0" fontId="5" fillId="6" borderId="10" xfId="56" applyFont="1" applyFill="1" applyBorder="1" applyAlignment="1">
      <alignment horizontal="center" vertical="center" wrapText="1"/>
      <protection/>
    </xf>
    <xf numFmtId="4" fontId="3" fillId="6" borderId="10" xfId="56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171" fontId="45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1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wrapText="1"/>
    </xf>
    <xf numFmtId="171" fontId="45" fillId="0" borderId="0" xfId="0" applyNumberFormat="1" applyFont="1" applyAlignment="1">
      <alignment horizontal="right"/>
    </xf>
    <xf numFmtId="171" fontId="45" fillId="0" borderId="0" xfId="0" applyNumberFormat="1" applyFont="1" applyFill="1" applyAlignment="1">
      <alignment/>
    </xf>
    <xf numFmtId="171" fontId="45" fillId="0" borderId="0" xfId="0" applyNumberFormat="1" applyFont="1" applyFill="1" applyAlignment="1">
      <alignment horizontal="center" vertical="center" wrapText="1"/>
    </xf>
    <xf numFmtId="0" fontId="47" fillId="0" borderId="10" xfId="0" applyFont="1" applyBorder="1" applyAlignment="1">
      <alignment horizontal="right" wrapText="1"/>
    </xf>
    <xf numFmtId="171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171" fontId="46" fillId="0" borderId="0" xfId="0" applyNumberFormat="1" applyFont="1" applyBorder="1" applyAlignment="1">
      <alignment horizontal="center" vertical="center" wrapText="1"/>
    </xf>
    <xf numFmtId="171" fontId="45" fillId="0" borderId="0" xfId="0" applyNumberFormat="1" applyFont="1" applyBorder="1" applyAlignment="1">
      <alignment horizontal="right" wrapText="1"/>
    </xf>
    <xf numFmtId="171" fontId="47" fillId="0" borderId="0" xfId="0" applyNumberFormat="1" applyFont="1" applyBorder="1" applyAlignment="1">
      <alignment horizontal="right"/>
    </xf>
    <xf numFmtId="171" fontId="45" fillId="0" borderId="0" xfId="0" applyNumberFormat="1" applyFont="1" applyBorder="1" applyAlignment="1">
      <alignment horizontal="right"/>
    </xf>
    <xf numFmtId="171" fontId="46" fillId="0" borderId="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171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1" fontId="45" fillId="0" borderId="0" xfId="0" applyNumberFormat="1" applyFont="1" applyBorder="1" applyAlignment="1">
      <alignment/>
    </xf>
    <xf numFmtId="171" fontId="47" fillId="0" borderId="0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wrapText="1"/>
    </xf>
    <xf numFmtId="0" fontId="5" fillId="3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3" fontId="3" fillId="3" borderId="10" xfId="56" applyNumberFormat="1" applyFont="1" applyFill="1" applyBorder="1" applyAlignment="1">
      <alignment horizontal="right" vertical="center"/>
      <protection/>
    </xf>
    <xf numFmtId="171" fontId="45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left" wrapText="1"/>
    </xf>
    <xf numFmtId="171" fontId="45" fillId="0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13" borderId="10" xfId="0" applyFont="1" applyFill="1" applyBorder="1" applyAlignment="1">
      <alignment horizontal="left" vertical="center" wrapText="1"/>
    </xf>
    <xf numFmtId="0" fontId="46" fillId="13" borderId="10" xfId="0" applyFont="1" applyFill="1" applyBorder="1" applyAlignment="1">
      <alignment/>
    </xf>
    <xf numFmtId="3" fontId="46" fillId="13" borderId="10" xfId="0" applyNumberFormat="1" applyFont="1" applyFill="1" applyBorder="1" applyAlignment="1">
      <alignment/>
    </xf>
    <xf numFmtId="4" fontId="46" fillId="13" borderId="10" xfId="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4" fontId="45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center" wrapText="1"/>
    </xf>
    <xf numFmtId="0" fontId="46" fillId="0" borderId="10" xfId="0" applyFont="1" applyBorder="1" applyAlignment="1">
      <alignment horizontal="right" vertical="center" wrapText="1"/>
    </xf>
    <xf numFmtId="171" fontId="46" fillId="0" borderId="10" xfId="0" applyNumberFormat="1" applyFont="1" applyFill="1" applyBorder="1" applyAlignment="1">
      <alignment horizontal="right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3" fillId="33" borderId="0" xfId="56" applyFont="1" applyFill="1">
      <alignment/>
      <protection/>
    </xf>
    <xf numFmtId="169" fontId="45" fillId="0" borderId="10" xfId="0" applyNumberFormat="1" applyFont="1" applyBorder="1" applyAlignment="1">
      <alignment/>
    </xf>
    <xf numFmtId="0" fontId="48" fillId="0" borderId="0" xfId="0" applyFont="1" applyFill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171" fontId="46" fillId="0" borderId="13" xfId="0" applyNumberFormat="1" applyFont="1" applyBorder="1" applyAlignment="1">
      <alignment horizontal="righ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5" xfId="0" applyFont="1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71" fontId="46" fillId="0" borderId="18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7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right" vertical="center" wrapText="1"/>
    </xf>
    <xf numFmtId="171" fontId="46" fillId="0" borderId="22" xfId="0" applyNumberFormat="1" applyFont="1" applyBorder="1" applyAlignment="1">
      <alignment horizontal="right" vertical="center" wrapText="1"/>
    </xf>
    <xf numFmtId="171" fontId="46" fillId="0" borderId="23" xfId="0" applyNumberFormat="1" applyFont="1" applyBorder="1" applyAlignment="1">
      <alignment horizontal="right" vertical="center" wrapText="1"/>
    </xf>
    <xf numFmtId="0" fontId="45" fillId="0" borderId="24" xfId="0" applyFont="1" applyBorder="1" applyAlignment="1">
      <alignment horizontal="right" wrapText="1"/>
    </xf>
    <xf numFmtId="171" fontId="46" fillId="0" borderId="25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left" vertical="center" wrapText="1"/>
    </xf>
    <xf numFmtId="171" fontId="46" fillId="0" borderId="20" xfId="0" applyNumberFormat="1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wrapText="1"/>
    </xf>
    <xf numFmtId="0" fontId="47" fillId="0" borderId="24" xfId="0" applyFont="1" applyBorder="1" applyAlignment="1">
      <alignment horizontal="right" wrapText="1"/>
    </xf>
    <xf numFmtId="0" fontId="46" fillId="0" borderId="19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right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right" wrapText="1"/>
    </xf>
    <xf numFmtId="171" fontId="46" fillId="0" borderId="28" xfId="0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21" xfId="0" applyFont="1" applyBorder="1" applyAlignment="1">
      <alignment vertical="center" wrapText="1"/>
    </xf>
    <xf numFmtId="0" fontId="45" fillId="0" borderId="12" xfId="0" applyFont="1" applyBorder="1" applyAlignment="1">
      <alignment horizontal="right" wrapText="1"/>
    </xf>
    <xf numFmtId="0" fontId="45" fillId="0" borderId="27" xfId="0" applyFont="1" applyBorder="1" applyAlignment="1">
      <alignment horizontal="right" wrapText="1"/>
    </xf>
    <xf numFmtId="0" fontId="46" fillId="0" borderId="30" xfId="0" applyFont="1" applyBorder="1" applyAlignment="1">
      <alignment horizontal="left" wrapText="1"/>
    </xf>
    <xf numFmtId="0" fontId="46" fillId="0" borderId="30" xfId="0" applyFont="1" applyBorder="1" applyAlignment="1">
      <alignment horizontal="right" wrapText="1"/>
    </xf>
    <xf numFmtId="171" fontId="46" fillId="0" borderId="20" xfId="0" applyNumberFormat="1" applyFont="1" applyBorder="1" applyAlignment="1">
      <alignment horizontal="right"/>
    </xf>
    <xf numFmtId="0" fontId="45" fillId="0" borderId="31" xfId="0" applyFont="1" applyBorder="1" applyAlignment="1">
      <alignment horizontal="left" wrapText="1"/>
    </xf>
    <xf numFmtId="0" fontId="45" fillId="0" borderId="32" xfId="0" applyFont="1" applyBorder="1" applyAlignment="1">
      <alignment horizontal="left" wrapText="1"/>
    </xf>
    <xf numFmtId="1" fontId="45" fillId="0" borderId="10" xfId="0" applyNumberFormat="1" applyFont="1" applyBorder="1" applyAlignment="1">
      <alignment horizontal="right" vertical="center" wrapText="1"/>
    </xf>
    <xf numFmtId="0" fontId="45" fillId="0" borderId="33" xfId="0" applyFont="1" applyBorder="1" applyAlignment="1">
      <alignment horizontal="left" wrapText="1"/>
    </xf>
    <xf numFmtId="0" fontId="45" fillId="0" borderId="34" xfId="0" applyFont="1" applyBorder="1" applyAlignment="1">
      <alignment horizontal="left" wrapText="1"/>
    </xf>
    <xf numFmtId="0" fontId="45" fillId="0" borderId="35" xfId="0" applyFont="1" applyBorder="1" applyAlignment="1">
      <alignment horizontal="right" wrapText="1"/>
    </xf>
    <xf numFmtId="171" fontId="46" fillId="0" borderId="36" xfId="0" applyNumberFormat="1" applyFont="1" applyBorder="1" applyAlignment="1">
      <alignment horizontal="right" vertical="center"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wrapText="1"/>
    </xf>
    <xf numFmtId="0" fontId="45" fillId="0" borderId="32" xfId="0" applyFont="1" applyBorder="1" applyAlignment="1">
      <alignment horizontal="left" wrapText="1"/>
    </xf>
    <xf numFmtId="0" fontId="45" fillId="0" borderId="41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left" vertical="center" wrapText="1"/>
    </xf>
    <xf numFmtId="0" fontId="46" fillId="1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10" borderId="0" xfId="56" applyFont="1" applyFill="1" applyAlignment="1">
      <alignment horizontal="center"/>
      <protection/>
    </xf>
    <xf numFmtId="3" fontId="3" fillId="0" borderId="0" xfId="56" applyNumberFormat="1" applyFont="1" applyBorder="1" applyAlignment="1">
      <alignment horizontal="left" vertical="center" wrapText="1"/>
      <protection/>
    </xf>
    <xf numFmtId="0" fontId="5" fillId="0" borderId="0" xfId="56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татные внешкольники 01.09.1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1;&#1102;&#1076;&#1078;&#1077;&#1090;%202018&#1075;\&#1042;&#1085;&#1077;&#1073;&#1102;&#1076;&#1078;&#1077;&#1090;%202018\&#1044;&#1057;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подготовка к школе"/>
      <sheetName val="логоритмика"/>
      <sheetName val="гимнастика"/>
      <sheetName val="Дс зп"/>
      <sheetName val="Комму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L54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6.00390625" style="53" customWidth="1"/>
    <col min="2" max="2" width="24.28125" style="53" customWidth="1"/>
    <col min="3" max="3" width="15.421875" style="53" customWidth="1"/>
    <col min="4" max="4" width="9.7109375" style="53" customWidth="1"/>
    <col min="5" max="5" width="15.57421875" style="53" customWidth="1"/>
    <col min="6" max="6" width="8.140625" style="53" customWidth="1"/>
    <col min="7" max="7" width="6.140625" style="53" customWidth="1"/>
    <col min="8" max="8" width="9.57421875" style="53" customWidth="1"/>
    <col min="9" max="9" width="7.7109375" style="53" customWidth="1"/>
    <col min="10" max="10" width="6.8515625" style="53" customWidth="1"/>
    <col min="11" max="11" width="9.57421875" style="53" customWidth="1"/>
    <col min="12" max="12" width="7.7109375" style="53" customWidth="1"/>
    <col min="13" max="13" width="6.8515625" style="53" customWidth="1"/>
    <col min="14" max="14" width="8.8515625" style="53" customWidth="1"/>
    <col min="15" max="16384" width="9.140625" style="53" customWidth="1"/>
  </cols>
  <sheetData>
    <row r="1" spans="2:6" ht="15.75">
      <c r="B1" s="160" t="s">
        <v>87</v>
      </c>
      <c r="C1" s="160"/>
      <c r="D1" s="160"/>
      <c r="E1" s="160"/>
      <c r="F1" s="82"/>
    </row>
    <row r="2" spans="2:6" ht="15.75">
      <c r="B2" s="161" t="s">
        <v>179</v>
      </c>
      <c r="C2" s="161"/>
      <c r="D2" s="161"/>
      <c r="E2" s="161"/>
      <c r="F2" s="161"/>
    </row>
    <row r="3" spans="2:7" ht="25.5" customHeight="1">
      <c r="B3" s="161" t="s">
        <v>172</v>
      </c>
      <c r="C3" s="161"/>
      <c r="D3" s="161"/>
      <c r="E3" s="161"/>
      <c r="F3" s="82"/>
      <c r="G3" s="64"/>
    </row>
    <row r="4" spans="2:7" ht="13.5" thickBot="1">
      <c r="B4" s="49"/>
      <c r="C4" s="49"/>
      <c r="D4" s="49"/>
      <c r="E4" s="56"/>
      <c r="F4" s="56"/>
      <c r="G4" s="64"/>
    </row>
    <row r="5" spans="2:7" ht="12.75">
      <c r="B5" s="119" t="s">
        <v>108</v>
      </c>
      <c r="C5" s="120"/>
      <c r="D5" s="120"/>
      <c r="E5" s="121">
        <f>психолог!D43+'психолог (2)'!D44+хореогр!D44+гимнастика!D45+'гимнастика (индивидуальн)'!D45+'обучение чтению'!D46+Рисование!D44+'Логопед '!D46+'Логопед  (индив)'!D46</f>
        <v>1953</v>
      </c>
      <c r="F5" s="54"/>
      <c r="G5" s="64"/>
    </row>
    <row r="6" spans="2:7" ht="12.75">
      <c r="B6" s="122"/>
      <c r="C6" s="123"/>
      <c r="D6" s="54"/>
      <c r="E6" s="124"/>
      <c r="F6" s="80"/>
      <c r="G6" s="64"/>
    </row>
    <row r="7" spans="2:12" ht="13.5" thickBot="1">
      <c r="B7" s="125" t="s">
        <v>75</v>
      </c>
      <c r="C7" s="126" t="s">
        <v>97</v>
      </c>
      <c r="D7" s="126" t="s">
        <v>76</v>
      </c>
      <c r="E7" s="127" t="s">
        <v>77</v>
      </c>
      <c r="F7" s="72"/>
      <c r="G7" s="65"/>
      <c r="H7" s="49"/>
      <c r="I7" s="49"/>
      <c r="K7" s="49"/>
      <c r="L7" s="49"/>
    </row>
    <row r="8" spans="2:12" ht="13.5" thickBot="1">
      <c r="B8" s="128" t="s">
        <v>146</v>
      </c>
      <c r="C8" s="162" t="s">
        <v>147</v>
      </c>
      <c r="D8" s="163"/>
      <c r="E8" s="129">
        <f>E9+E13+E14+E16+E20+E21</f>
        <v>1022.3999999999999</v>
      </c>
      <c r="F8" s="72"/>
      <c r="G8" s="65"/>
      <c r="H8" s="49"/>
      <c r="I8" s="49"/>
      <c r="K8" s="49"/>
      <c r="L8" s="49"/>
    </row>
    <row r="9" spans="2:12" ht="15" customHeight="1">
      <c r="B9" s="164" t="s">
        <v>148</v>
      </c>
      <c r="C9" s="165"/>
      <c r="D9" s="130">
        <v>223</v>
      </c>
      <c r="E9" s="131">
        <f>E10+E12</f>
        <v>40</v>
      </c>
      <c r="F9" s="71"/>
      <c r="G9" s="65"/>
      <c r="H9" s="49"/>
      <c r="I9" s="49"/>
      <c r="K9" s="49"/>
      <c r="L9" s="49"/>
    </row>
    <row r="10" spans="2:12" ht="15" customHeight="1">
      <c r="B10" s="166" t="s">
        <v>91</v>
      </c>
      <c r="C10" s="167"/>
      <c r="D10" s="61" t="s">
        <v>89</v>
      </c>
      <c r="E10" s="132"/>
      <c r="F10" s="81"/>
      <c r="G10" s="78"/>
      <c r="H10" s="79"/>
      <c r="I10" s="79"/>
      <c r="K10" s="79"/>
      <c r="L10" s="79"/>
    </row>
    <row r="11" spans="2:12" ht="15" customHeight="1">
      <c r="B11" s="166" t="s">
        <v>92</v>
      </c>
      <c r="C11" s="167"/>
      <c r="D11" s="61" t="s">
        <v>90</v>
      </c>
      <c r="E11" s="132"/>
      <c r="F11" s="81"/>
      <c r="G11" s="78"/>
      <c r="H11" s="79"/>
      <c r="I11" s="79"/>
      <c r="K11" s="79"/>
      <c r="L11" s="79"/>
    </row>
    <row r="12" spans="2:12" ht="15" customHeight="1">
      <c r="B12" s="166" t="s">
        <v>186</v>
      </c>
      <c r="C12" s="167"/>
      <c r="D12" s="61" t="s">
        <v>90</v>
      </c>
      <c r="E12" s="132">
        <v>40</v>
      </c>
      <c r="F12" s="81"/>
      <c r="G12" s="78"/>
      <c r="H12" s="79"/>
      <c r="I12" s="79"/>
      <c r="K12" s="79"/>
      <c r="L12" s="79"/>
    </row>
    <row r="13" spans="2:12" ht="15" customHeight="1">
      <c r="B13" s="168" t="s">
        <v>99</v>
      </c>
      <c r="C13" s="169"/>
      <c r="D13" s="61"/>
      <c r="E13" s="132">
        <f>E14+E15</f>
        <v>0</v>
      </c>
      <c r="F13" s="81"/>
      <c r="G13" s="78"/>
      <c r="H13" s="79"/>
      <c r="I13" s="79"/>
      <c r="K13" s="79"/>
      <c r="L13" s="79"/>
    </row>
    <row r="14" spans="2:12" ht="15" customHeight="1">
      <c r="B14" s="166" t="s">
        <v>98</v>
      </c>
      <c r="C14" s="167"/>
      <c r="D14" s="62">
        <v>225</v>
      </c>
      <c r="E14" s="132"/>
      <c r="F14" s="73"/>
      <c r="G14" s="65"/>
      <c r="H14" s="49"/>
      <c r="I14" s="49"/>
      <c r="K14" s="49"/>
      <c r="L14" s="49"/>
    </row>
    <row r="15" spans="2:12" ht="12.75">
      <c r="B15" s="166" t="s">
        <v>143</v>
      </c>
      <c r="C15" s="167"/>
      <c r="D15" s="62"/>
      <c r="E15" s="132"/>
      <c r="F15" s="73"/>
      <c r="G15" s="65"/>
      <c r="H15" s="49"/>
      <c r="I15" s="49"/>
      <c r="K15" s="49"/>
      <c r="L15" s="49"/>
    </row>
    <row r="16" spans="2:12" ht="12.75">
      <c r="B16" s="168" t="s">
        <v>102</v>
      </c>
      <c r="C16" s="169"/>
      <c r="D16" s="62">
        <v>226</v>
      </c>
      <c r="E16" s="132">
        <f>E17+E18+E19</f>
        <v>982.3999999999999</v>
      </c>
      <c r="F16" s="73"/>
      <c r="G16" s="65"/>
      <c r="H16" s="49"/>
      <c r="I16" s="49"/>
      <c r="K16" s="49"/>
      <c r="L16" s="49"/>
    </row>
    <row r="17" spans="2:12" ht="15" customHeight="1">
      <c r="B17" s="166" t="s">
        <v>100</v>
      </c>
      <c r="C17" s="167"/>
      <c r="D17" s="62"/>
      <c r="E17" s="132">
        <f>психолог!H38+'психолог (2)'!H39+хореогр!H39+гимнастика!H40+'гимнастика (индивидуальн)'!H40+'обучение чтению'!H41+Рисование!H39+'Логопед '!H41+'Логопед  (индив)'!H41</f>
        <v>968.3999999999999</v>
      </c>
      <c r="F17" s="74"/>
      <c r="G17" s="67"/>
      <c r="H17" s="68"/>
      <c r="I17" s="68"/>
      <c r="K17" s="68"/>
      <c r="L17" s="68"/>
    </row>
    <row r="18" spans="2:12" ht="15" customHeight="1">
      <c r="B18" s="166" t="s">
        <v>101</v>
      </c>
      <c r="C18" s="167"/>
      <c r="D18" s="62"/>
      <c r="E18" s="132">
        <v>3</v>
      </c>
      <c r="F18" s="74"/>
      <c r="G18" s="67"/>
      <c r="H18" s="68"/>
      <c r="I18" s="68"/>
      <c r="K18" s="68"/>
      <c r="L18" s="68"/>
    </row>
    <row r="19" spans="2:12" ht="15" customHeight="1">
      <c r="B19" s="166" t="s">
        <v>149</v>
      </c>
      <c r="C19" s="167"/>
      <c r="D19" s="62"/>
      <c r="E19" s="132">
        <v>11</v>
      </c>
      <c r="F19" s="74"/>
      <c r="G19" s="67"/>
      <c r="H19" s="68"/>
      <c r="I19" s="68"/>
      <c r="K19" s="68"/>
      <c r="L19" s="68"/>
    </row>
    <row r="20" spans="2:12" ht="15" customHeight="1">
      <c r="B20" s="170" t="s">
        <v>150</v>
      </c>
      <c r="C20" s="171"/>
      <c r="D20" s="62">
        <v>290</v>
      </c>
      <c r="E20" s="132">
        <f>'[1]подготовка к школе'!D57+'[1]логоритмика'!D57+'[1]гимнастика'!D57</f>
        <v>0</v>
      </c>
      <c r="F20" s="74"/>
      <c r="G20" s="67"/>
      <c r="H20" s="68"/>
      <c r="I20" s="68"/>
      <c r="K20" s="68"/>
      <c r="L20" s="68"/>
    </row>
    <row r="21" spans="2:12" ht="16.5" customHeight="1">
      <c r="B21" s="168" t="s">
        <v>78</v>
      </c>
      <c r="C21" s="169"/>
      <c r="D21" s="62">
        <v>340</v>
      </c>
      <c r="E21" s="132">
        <f>E22+E25+E26</f>
        <v>0</v>
      </c>
      <c r="F21" s="74"/>
      <c r="G21" s="67"/>
      <c r="H21" s="68"/>
      <c r="I21" s="68"/>
      <c r="K21" s="68"/>
      <c r="L21" s="68"/>
    </row>
    <row r="22" spans="2:12" ht="15" customHeight="1">
      <c r="B22" s="172" t="s">
        <v>105</v>
      </c>
      <c r="C22" s="173"/>
      <c r="D22" s="62" t="s">
        <v>106</v>
      </c>
      <c r="E22" s="132">
        <f>E23+E24</f>
        <v>0</v>
      </c>
      <c r="F22" s="74"/>
      <c r="G22" s="67"/>
      <c r="H22" s="68"/>
      <c r="I22" s="68"/>
      <c r="K22" s="68"/>
      <c r="L22" s="68"/>
    </row>
    <row r="23" spans="2:12" ht="15" customHeight="1">
      <c r="B23" s="166" t="s">
        <v>82</v>
      </c>
      <c r="C23" s="167"/>
      <c r="D23" s="66"/>
      <c r="E23" s="132"/>
      <c r="F23" s="74"/>
      <c r="G23" s="67"/>
      <c r="H23" s="68"/>
      <c r="I23" s="68"/>
      <c r="K23" s="68"/>
      <c r="L23" s="68"/>
    </row>
    <row r="24" spans="2:12" ht="15" customHeight="1">
      <c r="B24" s="166" t="s">
        <v>83</v>
      </c>
      <c r="C24" s="167"/>
      <c r="D24" s="66"/>
      <c r="E24" s="132"/>
      <c r="F24" s="74"/>
      <c r="G24" s="67"/>
      <c r="H24" s="68"/>
      <c r="I24" s="68"/>
      <c r="K24" s="68"/>
      <c r="L24" s="68"/>
    </row>
    <row r="25" spans="2:12" ht="15" customHeight="1">
      <c r="B25" s="166" t="s">
        <v>103</v>
      </c>
      <c r="C25" s="167"/>
      <c r="D25" s="62" t="s">
        <v>79</v>
      </c>
      <c r="E25" s="132"/>
      <c r="F25" s="74"/>
      <c r="G25" s="67"/>
      <c r="H25" s="68"/>
      <c r="I25" s="68"/>
      <c r="K25" s="68"/>
      <c r="L25" s="68"/>
    </row>
    <row r="26" spans="2:12" ht="15.75" customHeight="1" thickBot="1">
      <c r="B26" s="174" t="s">
        <v>104</v>
      </c>
      <c r="C26" s="175"/>
      <c r="D26" s="133" t="s">
        <v>80</v>
      </c>
      <c r="E26" s="134"/>
      <c r="F26" s="74"/>
      <c r="G26" s="67"/>
      <c r="H26" s="68"/>
      <c r="I26" s="68"/>
      <c r="K26" s="68"/>
      <c r="L26" s="68"/>
    </row>
    <row r="27" spans="2:12" ht="24" customHeight="1" thickBot="1">
      <c r="B27" s="135" t="s">
        <v>151</v>
      </c>
      <c r="C27" s="162" t="s">
        <v>152</v>
      </c>
      <c r="D27" s="163"/>
      <c r="E27" s="136">
        <f>SUM(E28:E33)</f>
        <v>445.6</v>
      </c>
      <c r="F27" s="74"/>
      <c r="G27" s="67"/>
      <c r="H27" s="68"/>
      <c r="I27" s="68"/>
      <c r="K27" s="68"/>
      <c r="L27" s="68"/>
    </row>
    <row r="28" spans="2:7" ht="25.5" customHeight="1">
      <c r="B28" s="176" t="s">
        <v>153</v>
      </c>
      <c r="C28" s="177"/>
      <c r="D28" s="137">
        <v>310</v>
      </c>
      <c r="E28" s="131">
        <v>135.6</v>
      </c>
      <c r="F28" s="75"/>
      <c r="G28" s="64"/>
    </row>
    <row r="29" spans="2:7" ht="12.75" customHeight="1">
      <c r="B29" s="166" t="s">
        <v>173</v>
      </c>
      <c r="C29" s="167"/>
      <c r="D29" s="137"/>
      <c r="E29" s="131">
        <v>150</v>
      </c>
      <c r="F29" s="75"/>
      <c r="G29" s="64"/>
    </row>
    <row r="30" spans="2:7" ht="14.25" customHeight="1">
      <c r="B30" s="166" t="s">
        <v>175</v>
      </c>
      <c r="C30" s="167"/>
      <c r="D30" s="137"/>
      <c r="E30" s="131">
        <v>50</v>
      </c>
      <c r="F30" s="75"/>
      <c r="G30" s="64"/>
    </row>
    <row r="31" spans="2:7" ht="12.75">
      <c r="B31" s="166" t="s">
        <v>182</v>
      </c>
      <c r="C31" s="167"/>
      <c r="D31" s="137"/>
      <c r="E31" s="131">
        <v>50</v>
      </c>
      <c r="F31" s="75"/>
      <c r="G31" s="64"/>
    </row>
    <row r="32" spans="2:12" ht="15" customHeight="1">
      <c r="B32" s="166" t="s">
        <v>183</v>
      </c>
      <c r="C32" s="167"/>
      <c r="D32" s="66"/>
      <c r="E32" s="132">
        <v>30</v>
      </c>
      <c r="F32" s="74"/>
      <c r="G32" s="67"/>
      <c r="H32" s="68"/>
      <c r="I32" s="68"/>
      <c r="K32" s="68"/>
      <c r="L32" s="68"/>
    </row>
    <row r="33" spans="2:12" ht="13.5" thickBot="1">
      <c r="B33" s="178" t="s">
        <v>185</v>
      </c>
      <c r="C33" s="179"/>
      <c r="D33" s="138"/>
      <c r="E33" s="134">
        <v>30</v>
      </c>
      <c r="F33" s="74"/>
      <c r="G33" s="67"/>
      <c r="H33" s="68"/>
      <c r="I33" s="68"/>
      <c r="K33" s="68"/>
      <c r="L33" s="68"/>
    </row>
    <row r="34" spans="2:12" ht="23.25" customHeight="1" thickBot="1">
      <c r="B34" s="139" t="s">
        <v>154</v>
      </c>
      <c r="C34" s="162" t="s">
        <v>155</v>
      </c>
      <c r="D34" s="163"/>
      <c r="E34" s="136">
        <f>SUM(E35:E37)</f>
        <v>480</v>
      </c>
      <c r="F34" s="74"/>
      <c r="G34" s="67"/>
      <c r="H34" s="68"/>
      <c r="I34" s="68"/>
      <c r="K34" s="68"/>
      <c r="L34" s="68"/>
    </row>
    <row r="35" spans="2:7" ht="15" customHeight="1">
      <c r="B35" s="176" t="s">
        <v>156</v>
      </c>
      <c r="C35" s="177"/>
      <c r="D35" s="140">
        <v>340</v>
      </c>
      <c r="E35" s="131">
        <v>80</v>
      </c>
      <c r="F35" s="75"/>
      <c r="G35" s="64"/>
    </row>
    <row r="36" spans="2:7" ht="15.75" customHeight="1">
      <c r="B36" s="153" t="s">
        <v>174</v>
      </c>
      <c r="C36" s="154"/>
      <c r="D36" s="62">
        <v>340</v>
      </c>
      <c r="E36" s="132">
        <v>200</v>
      </c>
      <c r="F36" s="75"/>
      <c r="G36" s="64"/>
    </row>
    <row r="37" spans="2:7" ht="15.75" customHeight="1" thickBot="1">
      <c r="B37" s="156" t="s">
        <v>184</v>
      </c>
      <c r="C37" s="157"/>
      <c r="D37" s="158">
        <v>340</v>
      </c>
      <c r="E37" s="159">
        <v>200</v>
      </c>
      <c r="F37" s="75"/>
      <c r="G37" s="64"/>
    </row>
    <row r="38" spans="2:7" ht="20.25" customHeight="1" thickBot="1">
      <c r="B38" s="139" t="s">
        <v>157</v>
      </c>
      <c r="C38" s="162" t="s">
        <v>171</v>
      </c>
      <c r="D38" s="163"/>
      <c r="E38" s="136">
        <f>E39+E40+E41</f>
        <v>0</v>
      </c>
      <c r="F38" s="75"/>
      <c r="G38" s="64"/>
    </row>
    <row r="39" spans="2:7" ht="12.75">
      <c r="B39" s="176" t="s">
        <v>158</v>
      </c>
      <c r="C39" s="177"/>
      <c r="D39" s="140">
        <v>226</v>
      </c>
      <c r="E39" s="131"/>
      <c r="F39" s="75"/>
      <c r="G39" s="64"/>
    </row>
    <row r="40" spans="2:7" ht="12.75">
      <c r="B40" s="141"/>
      <c r="C40" s="142"/>
      <c r="D40" s="143"/>
      <c r="E40" s="144"/>
      <c r="F40" s="75"/>
      <c r="G40" s="64"/>
    </row>
    <row r="41" spans="2:7" ht="13.5" thickBot="1">
      <c r="B41" s="145"/>
      <c r="C41" s="146"/>
      <c r="D41" s="133"/>
      <c r="E41" s="134"/>
      <c r="F41" s="75"/>
      <c r="G41" s="64"/>
    </row>
    <row r="42" spans="2:7" ht="19.5" customHeight="1" thickBot="1">
      <c r="B42" s="139" t="s">
        <v>159</v>
      </c>
      <c r="C42" s="162" t="s">
        <v>160</v>
      </c>
      <c r="D42" s="163"/>
      <c r="E42" s="136">
        <f>E43+E44</f>
        <v>5</v>
      </c>
      <c r="F42" s="75"/>
      <c r="G42" s="64"/>
    </row>
    <row r="43" spans="2:12" ht="12.75">
      <c r="B43" s="176" t="s">
        <v>161</v>
      </c>
      <c r="C43" s="177"/>
      <c r="D43" s="147">
        <v>225</v>
      </c>
      <c r="E43" s="131"/>
      <c r="F43" s="74"/>
      <c r="G43" s="67"/>
      <c r="H43" s="68"/>
      <c r="I43" s="68"/>
      <c r="K43" s="68"/>
      <c r="L43" s="68"/>
    </row>
    <row r="44" spans="2:12" ht="13.5" thickBot="1">
      <c r="B44" s="174" t="s">
        <v>162</v>
      </c>
      <c r="C44" s="175"/>
      <c r="D44" s="66">
        <v>225</v>
      </c>
      <c r="E44" s="132">
        <v>5</v>
      </c>
      <c r="F44" s="74"/>
      <c r="G44" s="67"/>
      <c r="H44" s="68"/>
      <c r="I44" s="68"/>
      <c r="K44" s="68"/>
      <c r="L44" s="68"/>
    </row>
    <row r="45" spans="2:12" ht="19.5" customHeight="1" thickBot="1">
      <c r="B45" s="139" t="s">
        <v>159</v>
      </c>
      <c r="C45" s="162" t="s">
        <v>163</v>
      </c>
      <c r="D45" s="163"/>
      <c r="E45" s="136">
        <f>E46+E47</f>
        <v>0</v>
      </c>
      <c r="F45" s="74"/>
      <c r="G45" s="67"/>
      <c r="H45" s="68"/>
      <c r="I45" s="68"/>
      <c r="K45" s="68"/>
      <c r="L45" s="68"/>
    </row>
    <row r="46" spans="2:12" ht="13.5" customHeight="1">
      <c r="B46" s="176" t="s">
        <v>164</v>
      </c>
      <c r="C46" s="177"/>
      <c r="D46" s="66">
        <v>310</v>
      </c>
      <c r="E46" s="132"/>
      <c r="F46" s="74"/>
      <c r="G46" s="67"/>
      <c r="H46" s="68"/>
      <c r="I46" s="68"/>
      <c r="K46" s="68"/>
      <c r="L46" s="68"/>
    </row>
    <row r="47" spans="2:12" ht="13.5" thickBot="1">
      <c r="B47" s="178" t="s">
        <v>165</v>
      </c>
      <c r="C47" s="179"/>
      <c r="D47" s="66">
        <v>310</v>
      </c>
      <c r="E47" s="132"/>
      <c r="F47" s="74"/>
      <c r="G47" s="67"/>
      <c r="H47" s="68"/>
      <c r="I47" s="68"/>
      <c r="K47" s="68"/>
      <c r="L47" s="68"/>
    </row>
    <row r="48" spans="2:12" ht="19.5" customHeight="1" thickBot="1">
      <c r="B48" s="139" t="s">
        <v>159</v>
      </c>
      <c r="C48" s="162" t="s">
        <v>166</v>
      </c>
      <c r="D48" s="163"/>
      <c r="E48" s="136">
        <f>E49+E50</f>
        <v>0</v>
      </c>
      <c r="F48" s="74"/>
      <c r="G48" s="67"/>
      <c r="H48" s="68"/>
      <c r="I48" s="68"/>
      <c r="K48" s="68"/>
      <c r="L48" s="68"/>
    </row>
    <row r="49" spans="2:7" ht="12.75">
      <c r="B49" s="176" t="s">
        <v>167</v>
      </c>
      <c r="C49" s="177"/>
      <c r="D49" s="148">
        <v>226</v>
      </c>
      <c r="E49" s="121"/>
      <c r="F49" s="75"/>
      <c r="G49" s="64"/>
    </row>
    <row r="50" spans="2:7" ht="13.5" thickBot="1">
      <c r="B50" s="141"/>
      <c r="C50" s="142"/>
      <c r="D50" s="149"/>
      <c r="E50" s="144"/>
      <c r="F50" s="75"/>
      <c r="G50" s="64"/>
    </row>
    <row r="51" spans="2:7" ht="13.5" thickBot="1">
      <c r="B51" s="139" t="s">
        <v>81</v>
      </c>
      <c r="C51" s="150"/>
      <c r="D51" s="151"/>
      <c r="E51" s="152">
        <f>E8+E27+E34+E38+E42+E45+E48</f>
        <v>1953</v>
      </c>
      <c r="F51" s="76"/>
      <c r="G51" s="64"/>
    </row>
    <row r="52" spans="2:7" ht="12.75">
      <c r="B52" s="55"/>
      <c r="C52" s="87"/>
      <c r="D52" s="63"/>
      <c r="E52" s="75">
        <f>E5-E51</f>
        <v>0</v>
      </c>
      <c r="F52" s="63"/>
      <c r="G52" s="64"/>
    </row>
    <row r="54" spans="2:9" ht="14.25">
      <c r="B54" s="105" t="s">
        <v>176</v>
      </c>
      <c r="C54" s="105"/>
      <c r="D54" s="105"/>
      <c r="E54" s="105"/>
      <c r="F54" s="105"/>
      <c r="G54" s="105"/>
      <c r="H54" s="106"/>
      <c r="I54" s="102"/>
    </row>
  </sheetData>
  <sheetProtection/>
  <mergeCells count="41">
    <mergeCell ref="B49:C49"/>
    <mergeCell ref="B3:E3"/>
    <mergeCell ref="C38:D38"/>
    <mergeCell ref="B39:C39"/>
    <mergeCell ref="C42:D42"/>
    <mergeCell ref="B44:C44"/>
    <mergeCell ref="C34:D34"/>
    <mergeCell ref="B35:C35"/>
    <mergeCell ref="C45:D45"/>
    <mergeCell ref="B46:C46"/>
    <mergeCell ref="B47:C47"/>
    <mergeCell ref="C48:D48"/>
    <mergeCell ref="B25:C25"/>
    <mergeCell ref="B26:C26"/>
    <mergeCell ref="C27:D27"/>
    <mergeCell ref="B28:C28"/>
    <mergeCell ref="B29:C29"/>
    <mergeCell ref="B43:C43"/>
    <mergeCell ref="B30:C30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:E1"/>
    <mergeCell ref="B2:F2"/>
    <mergeCell ref="C8:D8"/>
    <mergeCell ref="B9:C9"/>
    <mergeCell ref="B10:C10"/>
    <mergeCell ref="B12:C12"/>
    <mergeCell ref="B11:C11"/>
  </mergeCells>
  <printOptions/>
  <pageMargins left="0.7" right="0.7" top="0.16" bottom="0.18" header="0.16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zoomScalePageLayoutView="0" workbookViewId="0" topLeftCell="A28">
      <selection activeCell="I46" sqref="I46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7.14062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10.00390625" style="53" customWidth="1"/>
    <col min="11" max="11" width="11.421875" style="53" customWidth="1"/>
    <col min="12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140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18"/>
      <c r="B9" s="118"/>
      <c r="C9" s="181"/>
      <c r="D9" s="181"/>
      <c r="E9" s="181"/>
      <c r="F9" s="118"/>
      <c r="G9" s="118"/>
      <c r="H9" s="118"/>
      <c r="I9" s="118"/>
      <c r="J9" s="118"/>
    </row>
    <row r="10" spans="1:10" ht="12.75" customHeight="1">
      <c r="A10" s="118"/>
      <c r="B10" s="181" t="s">
        <v>145</v>
      </c>
      <c r="C10" s="181"/>
      <c r="D10" s="181"/>
      <c r="E10" s="181"/>
      <c r="F10" s="181"/>
      <c r="G10" s="181"/>
      <c r="H10" s="181"/>
      <c r="I10" s="118"/>
      <c r="J10" s="118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4</v>
      </c>
      <c r="D13" s="61">
        <f>A13/B13*C13</f>
        <v>16</v>
      </c>
      <c r="E13" s="61">
        <f>A13*C13</f>
        <v>144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17.2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50" t="s">
        <v>170</v>
      </c>
      <c r="C17" s="51">
        <v>397.07</v>
      </c>
      <c r="D17" s="77">
        <v>144</v>
      </c>
      <c r="E17" s="77">
        <v>30</v>
      </c>
      <c r="F17" s="52">
        <v>50</v>
      </c>
      <c r="G17" s="51">
        <f>ROUND(C17*D17+C17*D17*E17%+(C17*D17+C17*D17*E17%)*F17%,2)</f>
        <v>111497.26</v>
      </c>
      <c r="H17" s="77">
        <v>9</v>
      </c>
      <c r="I17" s="77">
        <v>6</v>
      </c>
      <c r="J17" s="51">
        <f>ROUND(G17/H17/I17,2)</f>
        <v>2064.76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6</v>
      </c>
      <c r="J18" s="51">
        <f aca="true" t="shared" si="0" ref="J18:J25">ROUND(G18/H18/I18,2)</f>
        <v>0</v>
      </c>
    </row>
    <row r="19" spans="1:10" ht="12.75">
      <c r="A19" s="50"/>
      <c r="B19" s="50" t="s">
        <v>7</v>
      </c>
      <c r="C19" s="51">
        <v>46.14</v>
      </c>
      <c r="D19" s="77">
        <v>144</v>
      </c>
      <c r="E19" s="77">
        <v>30</v>
      </c>
      <c r="F19" s="52">
        <v>50</v>
      </c>
      <c r="G19" s="51">
        <f>ROUND(C19*D19+C19*D19*E19%+C19*D19*F19%,2)</f>
        <v>11959.49</v>
      </c>
      <c r="H19" s="77">
        <v>9</v>
      </c>
      <c r="I19" s="77">
        <v>6</v>
      </c>
      <c r="J19" s="51">
        <f t="shared" si="0"/>
        <v>221.47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6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6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21.84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6</v>
      </c>
      <c r="J22" s="51">
        <f>ROUND(G22/H22/I22,2)</f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/>
      <c r="F23" s="52">
        <v>50</v>
      </c>
      <c r="G23" s="99">
        <f>G24+G25</f>
        <v>0</v>
      </c>
      <c r="H23" s="77">
        <v>9</v>
      </c>
      <c r="I23" s="77">
        <v>6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6</v>
      </c>
      <c r="J24" s="51">
        <f t="shared" si="0"/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6</v>
      </c>
      <c r="J25" s="51">
        <f t="shared" si="0"/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111497.26</v>
      </c>
      <c r="H26" s="90"/>
      <c r="I26" s="90"/>
      <c r="J26" s="90">
        <f>J17+J18+J22+J23</f>
        <v>2064.76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1.16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2400</v>
      </c>
    </row>
    <row r="29" spans="7:10" ht="12.75">
      <c r="G29" s="98"/>
      <c r="J29" s="98"/>
    </row>
    <row r="30" spans="7:10" ht="12.75">
      <c r="G30" s="98"/>
      <c r="J30" s="98"/>
    </row>
    <row r="31" spans="1:10" ht="14.25">
      <c r="A31" s="105" t="s">
        <v>132</v>
      </c>
      <c r="B31" s="105"/>
      <c r="C31" s="105"/>
      <c r="D31" s="105"/>
      <c r="E31" s="105"/>
      <c r="F31" s="105"/>
      <c r="G31" s="106"/>
      <c r="H31" s="102"/>
      <c r="J31" s="98"/>
    </row>
    <row r="32" spans="7:10" ht="12.75">
      <c r="G32" s="98"/>
      <c r="J32" s="98"/>
    </row>
    <row r="33" spans="7:10" ht="12.75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170</v>
      </c>
      <c r="B35" s="89">
        <f>J28</f>
        <v>2400</v>
      </c>
      <c r="C35" s="61">
        <v>35</v>
      </c>
      <c r="D35" s="61">
        <v>9</v>
      </c>
      <c r="E35" s="61">
        <v>6</v>
      </c>
      <c r="F35" s="86">
        <f>ROUND(B35*C35/100*D35*E35/1000,1)</f>
        <v>45.4</v>
      </c>
      <c r="G35" s="86">
        <f>ROUND(F35*27.1%,1)</f>
        <v>12.3</v>
      </c>
      <c r="H35" s="86">
        <f>F35+G35</f>
        <v>57.7</v>
      </c>
      <c r="J35" s="98"/>
    </row>
    <row r="36" spans="1:10" ht="12.75" customHeight="1">
      <c r="A36" s="50" t="s">
        <v>7</v>
      </c>
      <c r="B36" s="89">
        <f>J28</f>
        <v>2400</v>
      </c>
      <c r="C36" s="113">
        <v>4</v>
      </c>
      <c r="D36" s="61">
        <v>9</v>
      </c>
      <c r="E36" s="61">
        <v>6</v>
      </c>
      <c r="F36" s="86">
        <f>ROUND(B36*C36/100*D36*E36/1000,1)</f>
        <v>5.2</v>
      </c>
      <c r="G36" s="86">
        <f>ROUND(F36*27.1%,1)</f>
        <v>1.4</v>
      </c>
      <c r="H36" s="86">
        <f>F36+G36</f>
        <v>6.6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0"/>
      <c r="B39" s="89"/>
      <c r="C39" s="61"/>
      <c r="D39" s="61"/>
      <c r="E39" s="61"/>
      <c r="F39" s="86"/>
      <c r="G39" s="86"/>
      <c r="H39" s="86"/>
    </row>
    <row r="40" spans="1:8" ht="12.75" customHeight="1">
      <c r="A40" s="50"/>
      <c r="B40" s="89"/>
      <c r="C40" s="61"/>
      <c r="D40" s="61"/>
      <c r="E40" s="61"/>
      <c r="F40" s="86"/>
      <c r="G40" s="86"/>
      <c r="H40" s="86"/>
    </row>
    <row r="41" spans="1:8" ht="12.75" customHeight="1">
      <c r="A41" s="59"/>
      <c r="B41" s="109"/>
      <c r="C41" s="109"/>
      <c r="D41" s="109"/>
      <c r="E41" s="110"/>
      <c r="F41" s="110">
        <f>SUM(F35:F40)</f>
        <v>50.6</v>
      </c>
      <c r="G41" s="110">
        <f>SUM(G35:G40)</f>
        <v>13.700000000000001</v>
      </c>
      <c r="H41" s="110">
        <f>SUM(H35:H40)</f>
        <v>64.3</v>
      </c>
    </row>
    <row r="42" spans="1:6" ht="22.5" customHeight="1">
      <c r="A42" s="55"/>
      <c r="B42" s="55"/>
      <c r="E42" s="57"/>
      <c r="F42" s="64"/>
    </row>
    <row r="43" spans="1:6" ht="25.5" customHeight="1">
      <c r="A43" s="180" t="s">
        <v>129</v>
      </c>
      <c r="B43" s="180"/>
      <c r="C43" s="180"/>
      <c r="D43" s="82"/>
      <c r="E43" s="82"/>
      <c r="F43" s="64"/>
    </row>
    <row r="44" spans="1:6" ht="12.75">
      <c r="A44" s="49"/>
      <c r="B44" s="49"/>
      <c r="C44" s="49"/>
      <c r="D44" s="56"/>
      <c r="E44" s="56"/>
      <c r="F44" s="64"/>
    </row>
    <row r="45" spans="1:6" ht="38.25">
      <c r="A45" s="58" t="s">
        <v>73</v>
      </c>
      <c r="B45" s="58" t="s">
        <v>72</v>
      </c>
      <c r="C45" s="58" t="s">
        <v>107</v>
      </c>
      <c r="D45" s="58" t="s">
        <v>108</v>
      </c>
      <c r="E45" s="70"/>
      <c r="F45" s="64"/>
    </row>
    <row r="46" spans="1:6" ht="12.75">
      <c r="A46" s="51">
        <f>J28</f>
        <v>2400</v>
      </c>
      <c r="B46" s="52">
        <v>6</v>
      </c>
      <c r="C46" s="52">
        <v>9</v>
      </c>
      <c r="D46" s="52">
        <f>ROUND(A46*B46*C46/1000,1)</f>
        <v>129.6</v>
      </c>
      <c r="E46" s="54"/>
      <c r="F46" s="64"/>
    </row>
    <row r="47" spans="1:6" ht="12.75">
      <c r="A47" s="55"/>
      <c r="B47" s="55"/>
      <c r="D47" s="54"/>
      <c r="E47" s="80"/>
      <c r="F47" s="64"/>
    </row>
  </sheetData>
  <sheetProtection/>
  <mergeCells count="7">
    <mergeCell ref="A43:C43"/>
    <mergeCell ref="A5:J5"/>
    <mergeCell ref="A6:J6"/>
    <mergeCell ref="A7:J7"/>
    <mergeCell ref="A8:J8"/>
    <mergeCell ref="C9:E9"/>
    <mergeCell ref="B10:H10"/>
  </mergeCells>
  <printOptions/>
  <pageMargins left="0.28" right="0.2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6"/>
  <sheetViews>
    <sheetView zoomScale="80" zoomScaleNormal="80" zoomScalePageLayoutView="0" workbookViewId="0" topLeftCell="A33">
      <selection activeCell="B72" sqref="B72:B77"/>
    </sheetView>
  </sheetViews>
  <sheetFormatPr defaultColWidth="9.140625" defaultRowHeight="15"/>
  <cols>
    <col min="1" max="1" width="34.28125" style="44" customWidth="1"/>
    <col min="2" max="2" width="9.7109375" style="7" customWidth="1"/>
    <col min="3" max="3" width="10.140625" style="7" customWidth="1"/>
    <col min="4" max="4" width="7.8515625" style="7" customWidth="1"/>
    <col min="5" max="6" width="8.7109375" style="7" customWidth="1"/>
    <col min="7" max="7" width="8.140625" style="7" customWidth="1"/>
    <col min="8" max="8" width="9.421875" style="7" customWidth="1"/>
    <col min="9" max="9" width="8.7109375" style="7" customWidth="1"/>
    <col min="10" max="10" width="8.140625" style="7" customWidth="1"/>
    <col min="11" max="16384" width="9.140625" style="7" customWidth="1"/>
  </cols>
  <sheetData>
    <row r="2" spans="1:15" ht="15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4" spans="1:15" s="9" customFormat="1" ht="94.5" customHeight="1">
      <c r="A4" s="39" t="s">
        <v>63</v>
      </c>
      <c r="B4" s="39" t="s">
        <v>27</v>
      </c>
      <c r="C4" s="39" t="s">
        <v>25</v>
      </c>
      <c r="D4" s="39" t="s">
        <v>26</v>
      </c>
      <c r="E4" s="39" t="s">
        <v>61</v>
      </c>
      <c r="F4" s="39" t="s">
        <v>62</v>
      </c>
      <c r="G4" s="83" t="s">
        <v>29</v>
      </c>
      <c r="H4" s="39" t="s">
        <v>28</v>
      </c>
      <c r="I4" s="84" t="s">
        <v>96</v>
      </c>
      <c r="J4" s="45" t="s">
        <v>30</v>
      </c>
      <c r="K4" s="84" t="s">
        <v>95</v>
      </c>
      <c r="L4" s="84" t="s">
        <v>93</v>
      </c>
      <c r="M4" s="47" t="s">
        <v>60</v>
      </c>
      <c r="N4" s="84" t="s">
        <v>95</v>
      </c>
      <c r="O4" s="84" t="s">
        <v>93</v>
      </c>
    </row>
    <row r="5" spans="1:15" ht="15">
      <c r="A5" s="2" t="s">
        <v>3</v>
      </c>
      <c r="B5" s="4">
        <v>21318</v>
      </c>
      <c r="C5" s="11">
        <f>ROUND(B5*33%,2)</f>
        <v>7034.94</v>
      </c>
      <c r="D5" s="11"/>
      <c r="E5" s="11">
        <v>15</v>
      </c>
      <c r="F5" s="11">
        <f>ROUND(B5*E5/100,2)</f>
        <v>3197.7</v>
      </c>
      <c r="G5" s="85">
        <v>40</v>
      </c>
      <c r="H5" s="6">
        <f>ROUND(247/12/5*G5,0)</f>
        <v>165</v>
      </c>
      <c r="I5" s="5">
        <v>10</v>
      </c>
      <c r="J5" s="46">
        <f>K5+L5</f>
        <v>22.37</v>
      </c>
      <c r="K5" s="12">
        <f>ROUND((B5+C5+D5)/H5*I5/100,2)</f>
        <v>17.18</v>
      </c>
      <c r="L5" s="12">
        <f>ROUND(K5*30.2%,2)</f>
        <v>5.19</v>
      </c>
      <c r="M5" s="48">
        <f>N5+O5</f>
        <v>24.89</v>
      </c>
      <c r="N5" s="12">
        <f>ROUND((B5+C5+D5+F5)/H5*I5/100,2)</f>
        <v>19.12</v>
      </c>
      <c r="O5" s="12">
        <f>ROUND(N5*30.2%,2)</f>
        <v>5.77</v>
      </c>
    </row>
    <row r="6" spans="1:15" ht="30" customHeight="1">
      <c r="A6" s="2" t="s">
        <v>4</v>
      </c>
      <c r="B6" s="4"/>
      <c r="C6" s="11">
        <f aca="true" t="shared" si="0" ref="C6:C32">ROUND(B6*33%,2)</f>
        <v>0</v>
      </c>
      <c r="D6" s="11"/>
      <c r="E6" s="11">
        <v>15</v>
      </c>
      <c r="F6" s="11">
        <f aca="true" t="shared" si="1" ref="F6:F32">ROUND(B6*E6/100,2)</f>
        <v>0</v>
      </c>
      <c r="G6" s="85">
        <v>40</v>
      </c>
      <c r="H6" s="6">
        <f aca="true" t="shared" si="2" ref="H6:H32">ROUND(247/12/5*G6,0)</f>
        <v>165</v>
      </c>
      <c r="I6" s="5">
        <v>10</v>
      </c>
      <c r="J6" s="46">
        <f aca="true" t="shared" si="3" ref="J6:J32">K6+L6</f>
        <v>0</v>
      </c>
      <c r="K6" s="12">
        <f aca="true" t="shared" si="4" ref="K6:K32">ROUND((B6+C6+D6)/H6*I6/100,2)</f>
        <v>0</v>
      </c>
      <c r="L6" s="12">
        <f aca="true" t="shared" si="5" ref="L6:L32">ROUND(K6*30.2%,2)</f>
        <v>0</v>
      </c>
      <c r="M6" s="48">
        <f aca="true" t="shared" si="6" ref="M6:M32">N6+O6</f>
        <v>0</v>
      </c>
      <c r="N6" s="12">
        <f aca="true" t="shared" si="7" ref="N6:N32">ROUND((B6+C6+D6+F6)/H6*I6/100,2)</f>
        <v>0</v>
      </c>
      <c r="O6" s="12">
        <f aca="true" t="shared" si="8" ref="O6:O32">ROUND(N6*30.2%,2)</f>
        <v>0</v>
      </c>
    </row>
    <row r="7" spans="1:15" ht="45">
      <c r="A7" s="2" t="s">
        <v>5</v>
      </c>
      <c r="B7" s="4"/>
      <c r="C7" s="11">
        <f t="shared" si="0"/>
        <v>0</v>
      </c>
      <c r="D7" s="11"/>
      <c r="E7" s="11">
        <v>15</v>
      </c>
      <c r="F7" s="11">
        <f t="shared" si="1"/>
        <v>0</v>
      </c>
      <c r="G7" s="85">
        <v>40</v>
      </c>
      <c r="H7" s="6">
        <f t="shared" si="2"/>
        <v>165</v>
      </c>
      <c r="I7" s="5">
        <v>100</v>
      </c>
      <c r="J7" s="46">
        <f t="shared" si="3"/>
        <v>0</v>
      </c>
      <c r="K7" s="12">
        <f t="shared" si="4"/>
        <v>0</v>
      </c>
      <c r="L7" s="12">
        <f t="shared" si="5"/>
        <v>0</v>
      </c>
      <c r="M7" s="48">
        <f t="shared" si="6"/>
        <v>0</v>
      </c>
      <c r="N7" s="12">
        <f t="shared" si="7"/>
        <v>0</v>
      </c>
      <c r="O7" s="12">
        <f t="shared" si="8"/>
        <v>0</v>
      </c>
    </row>
    <row r="8" spans="1:15" ht="15">
      <c r="A8" s="3" t="s">
        <v>6</v>
      </c>
      <c r="B8" s="5">
        <v>12130</v>
      </c>
      <c r="C8" s="11">
        <f t="shared" si="0"/>
        <v>4002.9</v>
      </c>
      <c r="D8" s="12"/>
      <c r="E8" s="12">
        <v>20</v>
      </c>
      <c r="F8" s="11">
        <f t="shared" si="1"/>
        <v>2426</v>
      </c>
      <c r="G8" s="85">
        <v>36</v>
      </c>
      <c r="H8" s="6">
        <f t="shared" si="2"/>
        <v>148</v>
      </c>
      <c r="I8" s="5">
        <v>100</v>
      </c>
      <c r="J8" s="46">
        <f t="shared" si="3"/>
        <v>141.93</v>
      </c>
      <c r="K8" s="12">
        <f t="shared" si="4"/>
        <v>109.01</v>
      </c>
      <c r="L8" s="12">
        <f t="shared" si="5"/>
        <v>32.92</v>
      </c>
      <c r="M8" s="48">
        <f t="shared" si="6"/>
        <v>163.27</v>
      </c>
      <c r="N8" s="12">
        <f t="shared" si="7"/>
        <v>125.4</v>
      </c>
      <c r="O8" s="12">
        <f t="shared" si="8"/>
        <v>37.87</v>
      </c>
    </row>
    <row r="9" spans="1:15" ht="15">
      <c r="A9" s="3" t="s">
        <v>56</v>
      </c>
      <c r="B9" s="5">
        <v>11992</v>
      </c>
      <c r="C9" s="11">
        <f t="shared" si="0"/>
        <v>3957.36</v>
      </c>
      <c r="D9" s="12"/>
      <c r="E9" s="12">
        <v>20</v>
      </c>
      <c r="F9" s="11">
        <f t="shared" si="1"/>
        <v>2398.4</v>
      </c>
      <c r="G9" s="85">
        <v>36</v>
      </c>
      <c r="H9" s="6">
        <f t="shared" si="2"/>
        <v>148</v>
      </c>
      <c r="I9" s="5">
        <v>100</v>
      </c>
      <c r="J9" s="46">
        <f t="shared" si="3"/>
        <v>140.32</v>
      </c>
      <c r="K9" s="12">
        <f t="shared" si="4"/>
        <v>107.77</v>
      </c>
      <c r="L9" s="12">
        <f t="shared" si="5"/>
        <v>32.55</v>
      </c>
      <c r="M9" s="48">
        <f t="shared" si="6"/>
        <v>161.41</v>
      </c>
      <c r="N9" s="12">
        <f t="shared" si="7"/>
        <v>123.97</v>
      </c>
      <c r="O9" s="12">
        <f t="shared" si="8"/>
        <v>37.44</v>
      </c>
    </row>
    <row r="10" spans="1:15" ht="18.75" customHeight="1">
      <c r="A10" s="1" t="s">
        <v>69</v>
      </c>
      <c r="B10" s="6">
        <v>11461</v>
      </c>
      <c r="C10" s="11">
        <f t="shared" si="0"/>
        <v>3782.13</v>
      </c>
      <c r="D10" s="11"/>
      <c r="E10" s="12">
        <v>20</v>
      </c>
      <c r="F10" s="11">
        <f t="shared" si="1"/>
        <v>2292.2</v>
      </c>
      <c r="G10" s="85">
        <v>30</v>
      </c>
      <c r="H10" s="6">
        <f t="shared" si="2"/>
        <v>124</v>
      </c>
      <c r="I10" s="5">
        <v>100</v>
      </c>
      <c r="J10" s="46">
        <f t="shared" si="3"/>
        <v>160.05</v>
      </c>
      <c r="K10" s="12">
        <f t="shared" si="4"/>
        <v>122.93</v>
      </c>
      <c r="L10" s="12">
        <f t="shared" si="5"/>
        <v>37.12</v>
      </c>
      <c r="M10" s="48">
        <f t="shared" si="6"/>
        <v>184.12</v>
      </c>
      <c r="N10" s="12">
        <f t="shared" si="7"/>
        <v>141.41</v>
      </c>
      <c r="O10" s="12">
        <f t="shared" si="8"/>
        <v>42.71</v>
      </c>
    </row>
    <row r="11" spans="1:15" ht="20.25" customHeight="1">
      <c r="A11" s="1" t="s">
        <v>70</v>
      </c>
      <c r="B11" s="6">
        <v>11461</v>
      </c>
      <c r="C11" s="11">
        <f t="shared" si="0"/>
        <v>3782.13</v>
      </c>
      <c r="D11" s="11"/>
      <c r="E11" s="12">
        <v>20</v>
      </c>
      <c r="F11" s="11">
        <f t="shared" si="1"/>
        <v>2292.2</v>
      </c>
      <c r="G11" s="85">
        <v>24</v>
      </c>
      <c r="H11" s="6">
        <f t="shared" si="2"/>
        <v>99</v>
      </c>
      <c r="I11" s="5">
        <v>100</v>
      </c>
      <c r="J11" s="46">
        <f t="shared" si="3"/>
        <v>200.47</v>
      </c>
      <c r="K11" s="12">
        <f t="shared" si="4"/>
        <v>153.97</v>
      </c>
      <c r="L11" s="12">
        <f t="shared" si="5"/>
        <v>46.5</v>
      </c>
      <c r="M11" s="48">
        <f t="shared" si="6"/>
        <v>230.61</v>
      </c>
      <c r="N11" s="12">
        <f t="shared" si="7"/>
        <v>177.12</v>
      </c>
      <c r="O11" s="12">
        <f t="shared" si="8"/>
        <v>53.49</v>
      </c>
    </row>
    <row r="12" spans="1:15" ht="18" customHeight="1">
      <c r="A12" s="1" t="s">
        <v>58</v>
      </c>
      <c r="B12" s="6">
        <v>12130</v>
      </c>
      <c r="C12" s="11">
        <f t="shared" si="0"/>
        <v>4002.9</v>
      </c>
      <c r="D12" s="11"/>
      <c r="E12" s="12">
        <v>20</v>
      </c>
      <c r="F12" s="11">
        <f t="shared" si="1"/>
        <v>2426</v>
      </c>
      <c r="G12" s="85">
        <v>18</v>
      </c>
      <c r="H12" s="6">
        <f t="shared" si="2"/>
        <v>74</v>
      </c>
      <c r="I12" s="5">
        <v>100</v>
      </c>
      <c r="J12" s="46">
        <f t="shared" si="3"/>
        <v>283.85</v>
      </c>
      <c r="K12" s="12">
        <f t="shared" si="4"/>
        <v>218.01</v>
      </c>
      <c r="L12" s="12">
        <f t="shared" si="5"/>
        <v>65.84</v>
      </c>
      <c r="M12" s="48">
        <f t="shared" si="6"/>
        <v>326.54</v>
      </c>
      <c r="N12" s="12">
        <f t="shared" si="7"/>
        <v>250.8</v>
      </c>
      <c r="O12" s="12">
        <f t="shared" si="8"/>
        <v>75.74</v>
      </c>
    </row>
    <row r="13" spans="1:15" ht="30">
      <c r="A13" s="43" t="s">
        <v>59</v>
      </c>
      <c r="B13" s="6">
        <v>12130</v>
      </c>
      <c r="C13" s="11">
        <f t="shared" si="0"/>
        <v>4002.9</v>
      </c>
      <c r="D13" s="11"/>
      <c r="E13" s="12">
        <v>20</v>
      </c>
      <c r="F13" s="11">
        <f t="shared" si="1"/>
        <v>2426</v>
      </c>
      <c r="G13" s="85">
        <v>20</v>
      </c>
      <c r="H13" s="6">
        <f t="shared" si="2"/>
        <v>82</v>
      </c>
      <c r="I13" s="5">
        <v>100</v>
      </c>
      <c r="J13" s="46">
        <f t="shared" si="3"/>
        <v>256.16</v>
      </c>
      <c r="K13" s="12">
        <f t="shared" si="4"/>
        <v>196.74</v>
      </c>
      <c r="L13" s="12">
        <f t="shared" si="5"/>
        <v>59.42</v>
      </c>
      <c r="M13" s="48">
        <f t="shared" si="6"/>
        <v>294.68</v>
      </c>
      <c r="N13" s="12">
        <f t="shared" si="7"/>
        <v>226.33</v>
      </c>
      <c r="O13" s="12">
        <f t="shared" si="8"/>
        <v>68.35</v>
      </c>
    </row>
    <row r="14" spans="1:15" ht="19.5" customHeight="1">
      <c r="A14" s="1" t="s">
        <v>7</v>
      </c>
      <c r="B14" s="6">
        <v>4503</v>
      </c>
      <c r="C14" s="11">
        <f t="shared" si="0"/>
        <v>1485.99</v>
      </c>
      <c r="D14" s="11"/>
      <c r="E14" s="11">
        <v>15</v>
      </c>
      <c r="F14" s="11">
        <f t="shared" si="1"/>
        <v>675.45</v>
      </c>
      <c r="G14" s="85">
        <v>40</v>
      </c>
      <c r="H14" s="6">
        <f t="shared" si="2"/>
        <v>165</v>
      </c>
      <c r="I14" s="5">
        <v>100</v>
      </c>
      <c r="J14" s="46">
        <f t="shared" si="3"/>
        <v>47.26</v>
      </c>
      <c r="K14" s="12">
        <f t="shared" si="4"/>
        <v>36.3</v>
      </c>
      <c r="L14" s="12">
        <f t="shared" si="5"/>
        <v>10.96</v>
      </c>
      <c r="M14" s="48">
        <f t="shared" si="6"/>
        <v>52.59</v>
      </c>
      <c r="N14" s="12">
        <f t="shared" si="7"/>
        <v>40.39</v>
      </c>
      <c r="O14" s="12">
        <f t="shared" si="8"/>
        <v>12.2</v>
      </c>
    </row>
    <row r="15" spans="1:15" ht="15">
      <c r="A15" s="1" t="s">
        <v>8</v>
      </c>
      <c r="B15" s="6">
        <v>5252</v>
      </c>
      <c r="C15" s="11">
        <f t="shared" si="0"/>
        <v>1733.16</v>
      </c>
      <c r="D15" s="11"/>
      <c r="E15" s="11">
        <v>15</v>
      </c>
      <c r="F15" s="11">
        <f t="shared" si="1"/>
        <v>787.8</v>
      </c>
      <c r="G15" s="85">
        <v>40</v>
      </c>
      <c r="H15" s="6">
        <f t="shared" si="2"/>
        <v>165</v>
      </c>
      <c r="I15" s="5">
        <v>100</v>
      </c>
      <c r="J15" s="46">
        <f t="shared" si="3"/>
        <v>55.11</v>
      </c>
      <c r="K15" s="12">
        <f t="shared" si="4"/>
        <v>42.33</v>
      </c>
      <c r="L15" s="12">
        <f t="shared" si="5"/>
        <v>12.78</v>
      </c>
      <c r="M15" s="48">
        <f t="shared" si="6"/>
        <v>61.34</v>
      </c>
      <c r="N15" s="12">
        <f t="shared" si="7"/>
        <v>47.11</v>
      </c>
      <c r="O15" s="12">
        <f t="shared" si="8"/>
        <v>14.23</v>
      </c>
    </row>
    <row r="16" spans="1:15" ht="15">
      <c r="A16" s="1" t="s">
        <v>9</v>
      </c>
      <c r="B16" s="6">
        <v>6003</v>
      </c>
      <c r="C16" s="11">
        <f t="shared" si="0"/>
        <v>1980.99</v>
      </c>
      <c r="D16" s="11"/>
      <c r="E16" s="11">
        <v>15</v>
      </c>
      <c r="F16" s="11">
        <f t="shared" si="1"/>
        <v>900.45</v>
      </c>
      <c r="G16" s="85">
        <v>40</v>
      </c>
      <c r="H16" s="6">
        <f t="shared" si="2"/>
        <v>165</v>
      </c>
      <c r="I16" s="5">
        <v>100</v>
      </c>
      <c r="J16" s="46">
        <f t="shared" si="3"/>
        <v>63</v>
      </c>
      <c r="K16" s="12">
        <f t="shared" si="4"/>
        <v>48.39</v>
      </c>
      <c r="L16" s="12">
        <f t="shared" si="5"/>
        <v>14.61</v>
      </c>
      <c r="M16" s="48">
        <f t="shared" si="6"/>
        <v>70.11</v>
      </c>
      <c r="N16" s="12">
        <f t="shared" si="7"/>
        <v>53.85</v>
      </c>
      <c r="O16" s="12">
        <f t="shared" si="8"/>
        <v>16.26</v>
      </c>
    </row>
    <row r="17" spans="1:15" ht="19.5" customHeight="1">
      <c r="A17" s="3" t="s">
        <v>10</v>
      </c>
      <c r="B17" s="6">
        <v>10218</v>
      </c>
      <c r="C17" s="11">
        <f t="shared" si="0"/>
        <v>3371.94</v>
      </c>
      <c r="D17" s="11"/>
      <c r="E17" s="11">
        <v>15</v>
      </c>
      <c r="F17" s="11">
        <f t="shared" si="1"/>
        <v>1532.7</v>
      </c>
      <c r="G17" s="85">
        <v>39</v>
      </c>
      <c r="H17" s="6">
        <f t="shared" si="2"/>
        <v>161</v>
      </c>
      <c r="I17" s="5">
        <v>100</v>
      </c>
      <c r="J17" s="46">
        <f t="shared" si="3"/>
        <v>109.89999999999999</v>
      </c>
      <c r="K17" s="12">
        <f t="shared" si="4"/>
        <v>84.41</v>
      </c>
      <c r="L17" s="12">
        <f t="shared" si="5"/>
        <v>25.49</v>
      </c>
      <c r="M17" s="48">
        <f t="shared" si="6"/>
        <v>122.30000000000001</v>
      </c>
      <c r="N17" s="12">
        <f t="shared" si="7"/>
        <v>93.93</v>
      </c>
      <c r="O17" s="12">
        <f t="shared" si="8"/>
        <v>28.37</v>
      </c>
    </row>
    <row r="18" spans="1:15" ht="15">
      <c r="A18" s="3" t="s">
        <v>11</v>
      </c>
      <c r="B18" s="6">
        <v>9655</v>
      </c>
      <c r="C18" s="11">
        <f t="shared" si="0"/>
        <v>3186.15</v>
      </c>
      <c r="D18" s="11"/>
      <c r="E18" s="11">
        <v>15</v>
      </c>
      <c r="F18" s="11">
        <f t="shared" si="1"/>
        <v>1448.25</v>
      </c>
      <c r="G18" s="85">
        <v>39</v>
      </c>
      <c r="H18" s="6">
        <f t="shared" si="2"/>
        <v>161</v>
      </c>
      <c r="I18" s="5">
        <v>100</v>
      </c>
      <c r="J18" s="46">
        <f t="shared" si="3"/>
        <v>103.85000000000001</v>
      </c>
      <c r="K18" s="12">
        <f t="shared" si="4"/>
        <v>79.76</v>
      </c>
      <c r="L18" s="12">
        <f t="shared" si="5"/>
        <v>24.09</v>
      </c>
      <c r="M18" s="48">
        <f t="shared" si="6"/>
        <v>115.55</v>
      </c>
      <c r="N18" s="12">
        <f t="shared" si="7"/>
        <v>88.75</v>
      </c>
      <c r="O18" s="12">
        <f t="shared" si="8"/>
        <v>26.8</v>
      </c>
    </row>
    <row r="19" spans="1:15" ht="15">
      <c r="A19" s="3" t="s">
        <v>12</v>
      </c>
      <c r="B19" s="6">
        <v>5778</v>
      </c>
      <c r="C19" s="11">
        <f t="shared" si="0"/>
        <v>1906.74</v>
      </c>
      <c r="D19" s="11"/>
      <c r="E19" s="11">
        <v>15</v>
      </c>
      <c r="F19" s="11">
        <f t="shared" si="1"/>
        <v>866.7</v>
      </c>
      <c r="G19" s="85">
        <v>40</v>
      </c>
      <c r="H19" s="6">
        <f t="shared" si="2"/>
        <v>165</v>
      </c>
      <c r="I19" s="5">
        <v>100</v>
      </c>
      <c r="J19" s="46">
        <f t="shared" si="3"/>
        <v>60.63</v>
      </c>
      <c r="K19" s="12">
        <f t="shared" si="4"/>
        <v>46.57</v>
      </c>
      <c r="L19" s="12">
        <f t="shared" si="5"/>
        <v>14.06</v>
      </c>
      <c r="M19" s="48">
        <f t="shared" si="6"/>
        <v>67.48</v>
      </c>
      <c r="N19" s="12">
        <f t="shared" si="7"/>
        <v>51.83</v>
      </c>
      <c r="O19" s="12">
        <f t="shared" si="8"/>
        <v>15.65</v>
      </c>
    </row>
    <row r="20" spans="1:15" ht="15">
      <c r="A20" s="3" t="s">
        <v>13</v>
      </c>
      <c r="B20" s="6">
        <v>5674</v>
      </c>
      <c r="C20" s="11">
        <f t="shared" si="0"/>
        <v>1872.42</v>
      </c>
      <c r="D20" s="11"/>
      <c r="E20" s="11">
        <v>15</v>
      </c>
      <c r="F20" s="11">
        <f t="shared" si="1"/>
        <v>851.1</v>
      </c>
      <c r="G20" s="85">
        <v>40</v>
      </c>
      <c r="H20" s="6">
        <f t="shared" si="2"/>
        <v>165</v>
      </c>
      <c r="I20" s="5">
        <v>100</v>
      </c>
      <c r="J20" s="46">
        <f t="shared" si="3"/>
        <v>59.550000000000004</v>
      </c>
      <c r="K20" s="12">
        <f t="shared" si="4"/>
        <v>45.74</v>
      </c>
      <c r="L20" s="12">
        <f t="shared" si="5"/>
        <v>13.81</v>
      </c>
      <c r="M20" s="48">
        <f t="shared" si="6"/>
        <v>66.26</v>
      </c>
      <c r="N20" s="12">
        <f t="shared" si="7"/>
        <v>50.89</v>
      </c>
      <c r="O20" s="12">
        <f t="shared" si="8"/>
        <v>15.37</v>
      </c>
    </row>
    <row r="21" spans="1:15" ht="15">
      <c r="A21" s="1" t="s">
        <v>14</v>
      </c>
      <c r="B21" s="6">
        <v>5778</v>
      </c>
      <c r="C21" s="11">
        <f t="shared" si="0"/>
        <v>1906.74</v>
      </c>
      <c r="D21" s="11"/>
      <c r="E21" s="11">
        <v>15</v>
      </c>
      <c r="F21" s="11">
        <f t="shared" si="1"/>
        <v>866.7</v>
      </c>
      <c r="G21" s="85">
        <v>40</v>
      </c>
      <c r="H21" s="6">
        <f t="shared" si="2"/>
        <v>165</v>
      </c>
      <c r="I21" s="5">
        <v>100</v>
      </c>
      <c r="J21" s="46">
        <f t="shared" si="3"/>
        <v>60.63</v>
      </c>
      <c r="K21" s="12">
        <f t="shared" si="4"/>
        <v>46.57</v>
      </c>
      <c r="L21" s="12">
        <f t="shared" si="5"/>
        <v>14.06</v>
      </c>
      <c r="M21" s="48">
        <f t="shared" si="6"/>
        <v>67.48</v>
      </c>
      <c r="N21" s="12">
        <f t="shared" si="7"/>
        <v>51.83</v>
      </c>
      <c r="O21" s="12">
        <f t="shared" si="8"/>
        <v>15.65</v>
      </c>
    </row>
    <row r="22" spans="1:15" ht="15">
      <c r="A22" s="1" t="s">
        <v>15</v>
      </c>
      <c r="B22" s="6">
        <v>5673</v>
      </c>
      <c r="C22" s="11">
        <f t="shared" si="0"/>
        <v>1872.09</v>
      </c>
      <c r="D22" s="11"/>
      <c r="E22" s="11">
        <v>15</v>
      </c>
      <c r="F22" s="11">
        <f t="shared" si="1"/>
        <v>850.95</v>
      </c>
      <c r="G22" s="85">
        <v>40</v>
      </c>
      <c r="H22" s="6">
        <f t="shared" si="2"/>
        <v>165</v>
      </c>
      <c r="I22" s="5">
        <v>100</v>
      </c>
      <c r="J22" s="46">
        <f t="shared" si="3"/>
        <v>59.54</v>
      </c>
      <c r="K22" s="12">
        <f t="shared" si="4"/>
        <v>45.73</v>
      </c>
      <c r="L22" s="12">
        <f t="shared" si="5"/>
        <v>13.81</v>
      </c>
      <c r="M22" s="48">
        <f t="shared" si="6"/>
        <v>66.26</v>
      </c>
      <c r="N22" s="12">
        <f t="shared" si="7"/>
        <v>50.89</v>
      </c>
      <c r="O22" s="12">
        <f t="shared" si="8"/>
        <v>15.37</v>
      </c>
    </row>
    <row r="23" spans="1:15" ht="16.5" customHeight="1">
      <c r="A23" s="1" t="s">
        <v>15</v>
      </c>
      <c r="B23" s="6">
        <v>5252</v>
      </c>
      <c r="C23" s="11">
        <f t="shared" si="0"/>
        <v>1733.16</v>
      </c>
      <c r="D23" s="11"/>
      <c r="E23" s="11">
        <v>15</v>
      </c>
      <c r="F23" s="11">
        <f t="shared" si="1"/>
        <v>787.8</v>
      </c>
      <c r="G23" s="85">
        <v>40</v>
      </c>
      <c r="H23" s="6">
        <f t="shared" si="2"/>
        <v>165</v>
      </c>
      <c r="I23" s="5">
        <v>100</v>
      </c>
      <c r="J23" s="46">
        <f t="shared" si="3"/>
        <v>55.11</v>
      </c>
      <c r="K23" s="12">
        <f t="shared" si="4"/>
        <v>42.33</v>
      </c>
      <c r="L23" s="12">
        <f t="shared" si="5"/>
        <v>12.78</v>
      </c>
      <c r="M23" s="48">
        <f t="shared" si="6"/>
        <v>61.34</v>
      </c>
      <c r="N23" s="12">
        <f t="shared" si="7"/>
        <v>47.11</v>
      </c>
      <c r="O23" s="12">
        <f t="shared" si="8"/>
        <v>14.23</v>
      </c>
    </row>
    <row r="24" spans="1:15" ht="15" customHeight="1">
      <c r="A24" s="1" t="s">
        <v>15</v>
      </c>
      <c r="B24" s="6">
        <v>4203</v>
      </c>
      <c r="C24" s="11">
        <f t="shared" si="0"/>
        <v>1386.99</v>
      </c>
      <c r="D24" s="11"/>
      <c r="E24" s="11">
        <v>15</v>
      </c>
      <c r="F24" s="11">
        <f t="shared" si="1"/>
        <v>630.45</v>
      </c>
      <c r="G24" s="85">
        <v>40</v>
      </c>
      <c r="H24" s="6">
        <f t="shared" si="2"/>
        <v>165</v>
      </c>
      <c r="I24" s="5">
        <v>100</v>
      </c>
      <c r="J24" s="46">
        <f t="shared" si="3"/>
        <v>44.11</v>
      </c>
      <c r="K24" s="12">
        <f t="shared" si="4"/>
        <v>33.88</v>
      </c>
      <c r="L24" s="12">
        <f t="shared" si="5"/>
        <v>10.23</v>
      </c>
      <c r="M24" s="48">
        <f t="shared" si="6"/>
        <v>49.09</v>
      </c>
      <c r="N24" s="12">
        <f t="shared" si="7"/>
        <v>37.7</v>
      </c>
      <c r="O24" s="12">
        <f t="shared" si="8"/>
        <v>11.39</v>
      </c>
    </row>
    <row r="25" spans="1:15" ht="15">
      <c r="A25" s="43" t="s">
        <v>16</v>
      </c>
      <c r="B25" s="6">
        <v>4203</v>
      </c>
      <c r="C25" s="11">
        <f t="shared" si="0"/>
        <v>1386.99</v>
      </c>
      <c r="D25" s="11"/>
      <c r="E25" s="11">
        <v>15</v>
      </c>
      <c r="F25" s="11">
        <f t="shared" si="1"/>
        <v>630.45</v>
      </c>
      <c r="G25" s="85">
        <v>40</v>
      </c>
      <c r="H25" s="6">
        <f t="shared" si="2"/>
        <v>165</v>
      </c>
      <c r="I25" s="5">
        <v>100</v>
      </c>
      <c r="J25" s="46">
        <f t="shared" si="3"/>
        <v>44.11</v>
      </c>
      <c r="K25" s="12">
        <f t="shared" si="4"/>
        <v>33.88</v>
      </c>
      <c r="L25" s="12">
        <f t="shared" si="5"/>
        <v>10.23</v>
      </c>
      <c r="M25" s="48">
        <f t="shared" si="6"/>
        <v>49.09</v>
      </c>
      <c r="N25" s="12">
        <f t="shared" si="7"/>
        <v>37.7</v>
      </c>
      <c r="O25" s="12">
        <f t="shared" si="8"/>
        <v>11.39</v>
      </c>
    </row>
    <row r="26" spans="1:15" ht="15">
      <c r="A26" s="3" t="s">
        <v>17</v>
      </c>
      <c r="B26" s="6">
        <v>4203</v>
      </c>
      <c r="C26" s="11">
        <f t="shared" si="0"/>
        <v>1386.99</v>
      </c>
      <c r="D26" s="11"/>
      <c r="E26" s="11">
        <v>15</v>
      </c>
      <c r="F26" s="11">
        <f t="shared" si="1"/>
        <v>630.45</v>
      </c>
      <c r="G26" s="85">
        <v>40</v>
      </c>
      <c r="H26" s="6">
        <f t="shared" si="2"/>
        <v>165</v>
      </c>
      <c r="I26" s="5">
        <v>100</v>
      </c>
      <c r="J26" s="46">
        <f t="shared" si="3"/>
        <v>44.11</v>
      </c>
      <c r="K26" s="12">
        <f t="shared" si="4"/>
        <v>33.88</v>
      </c>
      <c r="L26" s="12">
        <f t="shared" si="5"/>
        <v>10.23</v>
      </c>
      <c r="M26" s="48">
        <f t="shared" si="6"/>
        <v>49.09</v>
      </c>
      <c r="N26" s="12">
        <f t="shared" si="7"/>
        <v>37.7</v>
      </c>
      <c r="O26" s="12">
        <f t="shared" si="8"/>
        <v>11.39</v>
      </c>
    </row>
    <row r="27" spans="1:15" ht="18.75" customHeight="1">
      <c r="A27" s="3" t="s">
        <v>18</v>
      </c>
      <c r="B27" s="6">
        <v>4203</v>
      </c>
      <c r="C27" s="11">
        <f t="shared" si="0"/>
        <v>1386.99</v>
      </c>
      <c r="D27" s="11"/>
      <c r="E27" s="11">
        <v>15</v>
      </c>
      <c r="F27" s="11">
        <f t="shared" si="1"/>
        <v>630.45</v>
      </c>
      <c r="G27" s="85">
        <v>40</v>
      </c>
      <c r="H27" s="6">
        <f t="shared" si="2"/>
        <v>165</v>
      </c>
      <c r="I27" s="5">
        <v>100</v>
      </c>
      <c r="J27" s="46">
        <f t="shared" si="3"/>
        <v>44.11</v>
      </c>
      <c r="K27" s="12">
        <f t="shared" si="4"/>
        <v>33.88</v>
      </c>
      <c r="L27" s="12">
        <f t="shared" si="5"/>
        <v>10.23</v>
      </c>
      <c r="M27" s="48">
        <f t="shared" si="6"/>
        <v>49.09</v>
      </c>
      <c r="N27" s="12">
        <f t="shared" si="7"/>
        <v>37.7</v>
      </c>
      <c r="O27" s="12">
        <f t="shared" si="8"/>
        <v>11.39</v>
      </c>
    </row>
    <row r="28" spans="1:15" ht="30" customHeight="1">
      <c r="A28" s="3" t="s">
        <v>19</v>
      </c>
      <c r="B28" s="6">
        <v>4203</v>
      </c>
      <c r="C28" s="11">
        <f t="shared" si="0"/>
        <v>1386.99</v>
      </c>
      <c r="D28" s="11">
        <f>ROUND(B28*4%,2)</f>
        <v>168.12</v>
      </c>
      <c r="E28" s="11">
        <v>15</v>
      </c>
      <c r="F28" s="11">
        <f t="shared" si="1"/>
        <v>630.45</v>
      </c>
      <c r="G28" s="85">
        <v>40</v>
      </c>
      <c r="H28" s="6">
        <f t="shared" si="2"/>
        <v>165</v>
      </c>
      <c r="I28" s="5">
        <v>100</v>
      </c>
      <c r="J28" s="46">
        <f t="shared" si="3"/>
        <v>45.44</v>
      </c>
      <c r="K28" s="12">
        <f t="shared" si="4"/>
        <v>34.9</v>
      </c>
      <c r="L28" s="12">
        <f t="shared" si="5"/>
        <v>10.54</v>
      </c>
      <c r="M28" s="48">
        <f t="shared" si="6"/>
        <v>50.41</v>
      </c>
      <c r="N28" s="12">
        <f t="shared" si="7"/>
        <v>38.72</v>
      </c>
      <c r="O28" s="12">
        <f t="shared" si="8"/>
        <v>11.69</v>
      </c>
    </row>
    <row r="29" spans="1:15" ht="30" customHeight="1">
      <c r="A29" s="1" t="s">
        <v>20</v>
      </c>
      <c r="B29" s="6">
        <v>4203</v>
      </c>
      <c r="C29" s="11">
        <f t="shared" si="0"/>
        <v>1386.99</v>
      </c>
      <c r="D29" s="11"/>
      <c r="E29" s="11">
        <v>15</v>
      </c>
      <c r="F29" s="11">
        <f t="shared" si="1"/>
        <v>630.45</v>
      </c>
      <c r="G29" s="85">
        <v>40</v>
      </c>
      <c r="H29" s="6">
        <f t="shared" si="2"/>
        <v>165</v>
      </c>
      <c r="I29" s="5">
        <v>100</v>
      </c>
      <c r="J29" s="46">
        <f t="shared" si="3"/>
        <v>44.11</v>
      </c>
      <c r="K29" s="12">
        <f t="shared" si="4"/>
        <v>33.88</v>
      </c>
      <c r="L29" s="12">
        <f t="shared" si="5"/>
        <v>10.23</v>
      </c>
      <c r="M29" s="48">
        <f t="shared" si="6"/>
        <v>49.09</v>
      </c>
      <c r="N29" s="12">
        <f t="shared" si="7"/>
        <v>37.7</v>
      </c>
      <c r="O29" s="12">
        <f t="shared" si="8"/>
        <v>11.39</v>
      </c>
    </row>
    <row r="30" spans="1:15" ht="15">
      <c r="A30" s="3" t="s">
        <v>21</v>
      </c>
      <c r="B30" s="6">
        <v>4203</v>
      </c>
      <c r="C30" s="11">
        <f t="shared" si="0"/>
        <v>1386.99</v>
      </c>
      <c r="D30" s="11">
        <f>ROUND(B30*4%,2)</f>
        <v>168.12</v>
      </c>
      <c r="E30" s="11">
        <v>15</v>
      </c>
      <c r="F30" s="11">
        <f t="shared" si="1"/>
        <v>630.45</v>
      </c>
      <c r="G30" s="85">
        <v>40</v>
      </c>
      <c r="H30" s="6">
        <f t="shared" si="2"/>
        <v>165</v>
      </c>
      <c r="I30" s="5">
        <v>100</v>
      </c>
      <c r="J30" s="46">
        <f t="shared" si="3"/>
        <v>45.44</v>
      </c>
      <c r="K30" s="12">
        <f t="shared" si="4"/>
        <v>34.9</v>
      </c>
      <c r="L30" s="12">
        <f t="shared" si="5"/>
        <v>10.54</v>
      </c>
      <c r="M30" s="48">
        <f t="shared" si="6"/>
        <v>50.41</v>
      </c>
      <c r="N30" s="12">
        <f t="shared" si="7"/>
        <v>38.72</v>
      </c>
      <c r="O30" s="12">
        <f t="shared" si="8"/>
        <v>11.69</v>
      </c>
    </row>
    <row r="31" spans="1:15" ht="15">
      <c r="A31" s="3" t="s">
        <v>22</v>
      </c>
      <c r="B31" s="6">
        <v>4203</v>
      </c>
      <c r="C31" s="11">
        <f t="shared" si="0"/>
        <v>1386.99</v>
      </c>
      <c r="D31" s="11"/>
      <c r="E31" s="11">
        <v>15</v>
      </c>
      <c r="F31" s="11">
        <f t="shared" si="1"/>
        <v>630.45</v>
      </c>
      <c r="G31" s="85">
        <v>40</v>
      </c>
      <c r="H31" s="6">
        <f t="shared" si="2"/>
        <v>165</v>
      </c>
      <c r="I31" s="5">
        <v>100</v>
      </c>
      <c r="J31" s="46">
        <f t="shared" si="3"/>
        <v>44.11</v>
      </c>
      <c r="K31" s="12">
        <f t="shared" si="4"/>
        <v>33.88</v>
      </c>
      <c r="L31" s="12">
        <f t="shared" si="5"/>
        <v>10.23</v>
      </c>
      <c r="M31" s="48">
        <f t="shared" si="6"/>
        <v>49.09</v>
      </c>
      <c r="N31" s="12">
        <f t="shared" si="7"/>
        <v>37.7</v>
      </c>
      <c r="O31" s="12">
        <f t="shared" si="8"/>
        <v>11.39</v>
      </c>
    </row>
    <row r="32" spans="1:15" ht="15">
      <c r="A32" s="3" t="s">
        <v>23</v>
      </c>
      <c r="B32" s="6">
        <v>4203</v>
      </c>
      <c r="C32" s="11">
        <f t="shared" si="0"/>
        <v>1386.99</v>
      </c>
      <c r="D32" s="11"/>
      <c r="E32" s="11">
        <v>15</v>
      </c>
      <c r="F32" s="11">
        <f t="shared" si="1"/>
        <v>630.45</v>
      </c>
      <c r="G32" s="85">
        <v>40</v>
      </c>
      <c r="H32" s="6">
        <f t="shared" si="2"/>
        <v>165</v>
      </c>
      <c r="I32" s="5">
        <v>100</v>
      </c>
      <c r="J32" s="46">
        <f t="shared" si="3"/>
        <v>44.11</v>
      </c>
      <c r="K32" s="12">
        <f t="shared" si="4"/>
        <v>33.88</v>
      </c>
      <c r="L32" s="12">
        <f t="shared" si="5"/>
        <v>10.23</v>
      </c>
      <c r="M32" s="48">
        <f t="shared" si="6"/>
        <v>49.09</v>
      </c>
      <c r="N32" s="12">
        <f t="shared" si="7"/>
        <v>37.7</v>
      </c>
      <c r="O32" s="12">
        <f t="shared" si="8"/>
        <v>11.39</v>
      </c>
    </row>
    <row r="33" spans="3:10" ht="15">
      <c r="C33" s="13"/>
      <c r="D33" s="13"/>
      <c r="E33" s="13"/>
      <c r="F33" s="13"/>
      <c r="G33" s="13"/>
      <c r="H33" s="13"/>
      <c r="I33" s="13"/>
      <c r="J33" s="13"/>
    </row>
    <row r="34" spans="1:15" ht="15">
      <c r="A34" s="184" t="s">
        <v>64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ht="15">
      <c r="J35" s="116"/>
    </row>
    <row r="36" spans="1:15" s="9" customFormat="1" ht="94.5" customHeight="1">
      <c r="A36" s="39" t="s">
        <v>63</v>
      </c>
      <c r="B36" s="39" t="s">
        <v>27</v>
      </c>
      <c r="C36" s="39" t="s">
        <v>25</v>
      </c>
      <c r="D36" s="39" t="s">
        <v>26</v>
      </c>
      <c r="E36" s="39" t="s">
        <v>61</v>
      </c>
      <c r="F36" s="39" t="s">
        <v>62</v>
      </c>
      <c r="G36" s="83" t="s">
        <v>29</v>
      </c>
      <c r="H36" s="39" t="s">
        <v>28</v>
      </c>
      <c r="I36" s="84" t="s">
        <v>96</v>
      </c>
      <c r="J36" s="45" t="s">
        <v>30</v>
      </c>
      <c r="K36" s="84" t="s">
        <v>95</v>
      </c>
      <c r="L36" s="84" t="s">
        <v>93</v>
      </c>
      <c r="M36" s="47" t="s">
        <v>60</v>
      </c>
      <c r="N36" s="84" t="s">
        <v>95</v>
      </c>
      <c r="O36" s="84" t="s">
        <v>93</v>
      </c>
    </row>
    <row r="37" spans="1:15" ht="15">
      <c r="A37" s="2" t="s">
        <v>3</v>
      </c>
      <c r="B37" s="4">
        <v>21318</v>
      </c>
      <c r="C37" s="11">
        <f>ROUND(B37*33%,2)</f>
        <v>7034.94</v>
      </c>
      <c r="D37" s="11"/>
      <c r="E37" s="11">
        <v>15</v>
      </c>
      <c r="F37" s="11">
        <f>ROUND(B37*E37/100,2)</f>
        <v>3197.7</v>
      </c>
      <c r="G37" s="85">
        <v>40</v>
      </c>
      <c r="H37" s="6">
        <f>ROUND(247/12/5*G37,0)</f>
        <v>165</v>
      </c>
      <c r="I37" s="5">
        <v>10</v>
      </c>
      <c r="J37" s="46">
        <f>K37+L37</f>
        <v>21.84</v>
      </c>
      <c r="K37" s="12">
        <f>ROUND((B37+C37+D37)/H37*I37/100,2)</f>
        <v>17.18</v>
      </c>
      <c r="L37" s="12">
        <f>ROUND(K37*27.1%,2)</f>
        <v>4.66</v>
      </c>
      <c r="M37" s="48">
        <f>N37+O37</f>
        <v>24.3</v>
      </c>
      <c r="N37" s="12">
        <f>ROUND((B37+C37+D37+F37)/H37*I37/100,2)</f>
        <v>19.12</v>
      </c>
      <c r="O37" s="12">
        <f>ROUND(N37*27.1%,2)</f>
        <v>5.18</v>
      </c>
    </row>
    <row r="38" spans="1:15" ht="30" customHeight="1">
      <c r="A38" s="2" t="s">
        <v>4</v>
      </c>
      <c r="B38" s="4"/>
      <c r="C38" s="11">
        <f aca="true" t="shared" si="9" ref="C38:C64">ROUND(B38*33%,2)</f>
        <v>0</v>
      </c>
      <c r="D38" s="11"/>
      <c r="E38" s="11">
        <v>15</v>
      </c>
      <c r="F38" s="11">
        <f aca="true" t="shared" si="10" ref="F38:F64">ROUND(B38*E38/100,2)</f>
        <v>0</v>
      </c>
      <c r="G38" s="85">
        <v>40</v>
      </c>
      <c r="H38" s="6">
        <f aca="true" t="shared" si="11" ref="H38:H64">ROUND(247/12/5*G38,0)</f>
        <v>165</v>
      </c>
      <c r="I38" s="5">
        <v>10</v>
      </c>
      <c r="J38" s="46">
        <f aca="true" t="shared" si="12" ref="J38:J64">K38+L38</f>
        <v>0</v>
      </c>
      <c r="K38" s="12">
        <f aca="true" t="shared" si="13" ref="K38:K64">ROUND((B38+C38+D38)/H38*I38/100,2)</f>
        <v>0</v>
      </c>
      <c r="L38" s="12">
        <f aca="true" t="shared" si="14" ref="L38:L64">ROUND(K38*27.1%,2)</f>
        <v>0</v>
      </c>
      <c r="M38" s="48">
        <f aca="true" t="shared" si="15" ref="M38:M64">N38+O38</f>
        <v>0</v>
      </c>
      <c r="N38" s="12">
        <f aca="true" t="shared" si="16" ref="N38:N64">ROUND((B38+C38+D38+F38)/H38*I38/100,2)</f>
        <v>0</v>
      </c>
      <c r="O38" s="12">
        <f aca="true" t="shared" si="17" ref="O38:O64">ROUND(N38*27.1%,2)</f>
        <v>0</v>
      </c>
    </row>
    <row r="39" spans="1:15" ht="45">
      <c r="A39" s="2" t="s">
        <v>5</v>
      </c>
      <c r="B39" s="4"/>
      <c r="C39" s="11">
        <f t="shared" si="9"/>
        <v>0</v>
      </c>
      <c r="D39" s="11"/>
      <c r="E39" s="11">
        <v>15</v>
      </c>
      <c r="F39" s="11">
        <f t="shared" si="10"/>
        <v>0</v>
      </c>
      <c r="G39" s="85">
        <v>40</v>
      </c>
      <c r="H39" s="6">
        <f t="shared" si="11"/>
        <v>165</v>
      </c>
      <c r="I39" s="5">
        <v>100</v>
      </c>
      <c r="J39" s="46">
        <f t="shared" si="12"/>
        <v>0</v>
      </c>
      <c r="K39" s="12">
        <f t="shared" si="13"/>
        <v>0</v>
      </c>
      <c r="L39" s="12">
        <f t="shared" si="14"/>
        <v>0</v>
      </c>
      <c r="M39" s="48">
        <f t="shared" si="15"/>
        <v>0</v>
      </c>
      <c r="N39" s="12">
        <f t="shared" si="16"/>
        <v>0</v>
      </c>
      <c r="O39" s="12">
        <f t="shared" si="17"/>
        <v>0</v>
      </c>
    </row>
    <row r="40" spans="1:15" ht="15">
      <c r="A40" s="3" t="s">
        <v>6</v>
      </c>
      <c r="B40" s="5">
        <v>25618</v>
      </c>
      <c r="C40" s="11"/>
      <c r="D40" s="12"/>
      <c r="E40" s="12"/>
      <c r="F40" s="11"/>
      <c r="G40" s="85">
        <v>36</v>
      </c>
      <c r="H40" s="6">
        <f t="shared" si="11"/>
        <v>148</v>
      </c>
      <c r="I40" s="5">
        <v>100</v>
      </c>
      <c r="J40" s="46">
        <f t="shared" si="12"/>
        <v>220</v>
      </c>
      <c r="K40" s="12">
        <f t="shared" si="13"/>
        <v>173.09</v>
      </c>
      <c r="L40" s="12">
        <f t="shared" si="14"/>
        <v>46.91</v>
      </c>
      <c r="M40" s="48">
        <f t="shared" si="15"/>
        <v>220</v>
      </c>
      <c r="N40" s="12">
        <f t="shared" si="16"/>
        <v>173.09</v>
      </c>
      <c r="O40" s="12">
        <f t="shared" si="17"/>
        <v>46.91</v>
      </c>
    </row>
    <row r="41" spans="1:15" ht="15">
      <c r="A41" s="3" t="s">
        <v>56</v>
      </c>
      <c r="B41" s="5">
        <v>25618</v>
      </c>
      <c r="C41" s="11"/>
      <c r="D41" s="12"/>
      <c r="E41" s="12"/>
      <c r="F41" s="11"/>
      <c r="G41" s="85">
        <v>36</v>
      </c>
      <c r="H41" s="6">
        <f t="shared" si="11"/>
        <v>148</v>
      </c>
      <c r="I41" s="5">
        <v>100</v>
      </c>
      <c r="J41" s="46">
        <f t="shared" si="12"/>
        <v>220</v>
      </c>
      <c r="K41" s="12">
        <f t="shared" si="13"/>
        <v>173.09</v>
      </c>
      <c r="L41" s="12">
        <f t="shared" si="14"/>
        <v>46.91</v>
      </c>
      <c r="M41" s="48">
        <f t="shared" si="15"/>
        <v>220</v>
      </c>
      <c r="N41" s="12">
        <f t="shared" si="16"/>
        <v>173.09</v>
      </c>
      <c r="O41" s="12">
        <f t="shared" si="17"/>
        <v>46.91</v>
      </c>
    </row>
    <row r="42" spans="1:15" ht="18.75" customHeight="1">
      <c r="A42" s="1" t="s">
        <v>69</v>
      </c>
      <c r="B42" s="5">
        <v>25618</v>
      </c>
      <c r="C42" s="11"/>
      <c r="D42" s="11"/>
      <c r="E42" s="12"/>
      <c r="F42" s="11"/>
      <c r="G42" s="85">
        <v>30</v>
      </c>
      <c r="H42" s="6">
        <f t="shared" si="11"/>
        <v>124</v>
      </c>
      <c r="I42" s="5">
        <v>100</v>
      </c>
      <c r="J42" s="46">
        <f t="shared" si="12"/>
        <v>262.59</v>
      </c>
      <c r="K42" s="12">
        <f t="shared" si="13"/>
        <v>206.6</v>
      </c>
      <c r="L42" s="12">
        <f t="shared" si="14"/>
        <v>55.99</v>
      </c>
      <c r="M42" s="48">
        <f t="shared" si="15"/>
        <v>262.59</v>
      </c>
      <c r="N42" s="12">
        <f t="shared" si="16"/>
        <v>206.6</v>
      </c>
      <c r="O42" s="12">
        <f t="shared" si="17"/>
        <v>55.99</v>
      </c>
    </row>
    <row r="43" spans="1:15" ht="20.25" customHeight="1">
      <c r="A43" s="1" t="s">
        <v>70</v>
      </c>
      <c r="B43" s="5">
        <v>25618</v>
      </c>
      <c r="C43" s="11"/>
      <c r="D43" s="11"/>
      <c r="E43" s="12"/>
      <c r="F43" s="11"/>
      <c r="G43" s="85">
        <v>24</v>
      </c>
      <c r="H43" s="6">
        <f t="shared" si="11"/>
        <v>99</v>
      </c>
      <c r="I43" s="5">
        <v>100</v>
      </c>
      <c r="J43" s="46">
        <f t="shared" si="12"/>
        <v>328.9</v>
      </c>
      <c r="K43" s="12">
        <f t="shared" si="13"/>
        <v>258.77</v>
      </c>
      <c r="L43" s="12">
        <f t="shared" si="14"/>
        <v>70.13</v>
      </c>
      <c r="M43" s="48">
        <f t="shared" si="15"/>
        <v>328.9</v>
      </c>
      <c r="N43" s="12">
        <f t="shared" si="16"/>
        <v>258.77</v>
      </c>
      <c r="O43" s="12">
        <f t="shared" si="17"/>
        <v>70.13</v>
      </c>
    </row>
    <row r="44" spans="1:15" ht="18" customHeight="1">
      <c r="A44" s="1" t="s">
        <v>58</v>
      </c>
      <c r="B44" s="5">
        <v>25618</v>
      </c>
      <c r="C44" s="11"/>
      <c r="D44" s="11"/>
      <c r="E44" s="12"/>
      <c r="F44" s="11"/>
      <c r="G44" s="85">
        <v>18</v>
      </c>
      <c r="H44" s="6">
        <f t="shared" si="11"/>
        <v>74</v>
      </c>
      <c r="I44" s="5">
        <v>100</v>
      </c>
      <c r="J44" s="46">
        <f t="shared" si="12"/>
        <v>440.01</v>
      </c>
      <c r="K44" s="12">
        <f t="shared" si="13"/>
        <v>346.19</v>
      </c>
      <c r="L44" s="12">
        <f t="shared" si="14"/>
        <v>93.82</v>
      </c>
      <c r="M44" s="48">
        <f t="shared" si="15"/>
        <v>440.01</v>
      </c>
      <c r="N44" s="12">
        <f t="shared" si="16"/>
        <v>346.19</v>
      </c>
      <c r="O44" s="12">
        <f t="shared" si="17"/>
        <v>93.82</v>
      </c>
    </row>
    <row r="45" spans="1:15" ht="30">
      <c r="A45" s="43" t="s">
        <v>59</v>
      </c>
      <c r="B45" s="5">
        <v>25618</v>
      </c>
      <c r="C45" s="11"/>
      <c r="D45" s="11"/>
      <c r="E45" s="12"/>
      <c r="F45" s="11"/>
      <c r="G45" s="85">
        <v>20</v>
      </c>
      <c r="H45" s="6">
        <f t="shared" si="11"/>
        <v>82</v>
      </c>
      <c r="I45" s="5">
        <v>100</v>
      </c>
      <c r="J45" s="46">
        <f>K45+L45</f>
        <v>397.07000000000005</v>
      </c>
      <c r="K45" s="12">
        <f>ROUND((B45+C45+D45)/H45*I45/100,2)</f>
        <v>312.41</v>
      </c>
      <c r="L45" s="12">
        <f t="shared" si="14"/>
        <v>84.66</v>
      </c>
      <c r="M45" s="48">
        <f>N45+O45</f>
        <v>397.07000000000005</v>
      </c>
      <c r="N45" s="12">
        <f>ROUND((B45+C45+D45+F45)/H45*I45/100,2)</f>
        <v>312.41</v>
      </c>
      <c r="O45" s="12">
        <f t="shared" si="17"/>
        <v>84.66</v>
      </c>
    </row>
    <row r="46" spans="1:15" ht="19.5" customHeight="1">
      <c r="A46" s="1" t="s">
        <v>7</v>
      </c>
      <c r="B46" s="6">
        <v>4503</v>
      </c>
      <c r="C46" s="11">
        <f t="shared" si="9"/>
        <v>1485.99</v>
      </c>
      <c r="D46" s="11"/>
      <c r="E46" s="11">
        <v>15</v>
      </c>
      <c r="F46" s="11">
        <f t="shared" si="10"/>
        <v>675.45</v>
      </c>
      <c r="G46" s="85">
        <v>40</v>
      </c>
      <c r="H46" s="6">
        <f t="shared" si="11"/>
        <v>165</v>
      </c>
      <c r="I46" s="5">
        <v>100</v>
      </c>
      <c r="J46" s="46">
        <f t="shared" si="12"/>
        <v>46.14</v>
      </c>
      <c r="K46" s="12">
        <f t="shared" si="13"/>
        <v>36.3</v>
      </c>
      <c r="L46" s="12">
        <f t="shared" si="14"/>
        <v>9.84</v>
      </c>
      <c r="M46" s="48">
        <f t="shared" si="15"/>
        <v>51.34</v>
      </c>
      <c r="N46" s="12">
        <f t="shared" si="16"/>
        <v>40.39</v>
      </c>
      <c r="O46" s="12">
        <f t="shared" si="17"/>
        <v>10.95</v>
      </c>
    </row>
    <row r="47" spans="1:15" ht="15">
      <c r="A47" s="1" t="s">
        <v>8</v>
      </c>
      <c r="B47" s="6">
        <v>5252</v>
      </c>
      <c r="C47" s="11">
        <f t="shared" si="9"/>
        <v>1733.16</v>
      </c>
      <c r="D47" s="11"/>
      <c r="E47" s="11">
        <v>15</v>
      </c>
      <c r="F47" s="11">
        <f t="shared" si="10"/>
        <v>787.8</v>
      </c>
      <c r="G47" s="85">
        <v>40</v>
      </c>
      <c r="H47" s="6">
        <f t="shared" si="11"/>
        <v>165</v>
      </c>
      <c r="I47" s="5">
        <v>100</v>
      </c>
      <c r="J47" s="46">
        <f t="shared" si="12"/>
        <v>53.8</v>
      </c>
      <c r="K47" s="12">
        <f t="shared" si="13"/>
        <v>42.33</v>
      </c>
      <c r="L47" s="12">
        <f t="shared" si="14"/>
        <v>11.47</v>
      </c>
      <c r="M47" s="48">
        <f t="shared" si="15"/>
        <v>59.879999999999995</v>
      </c>
      <c r="N47" s="12">
        <f t="shared" si="16"/>
        <v>47.11</v>
      </c>
      <c r="O47" s="12">
        <f t="shared" si="17"/>
        <v>12.77</v>
      </c>
    </row>
    <row r="48" spans="1:15" ht="15">
      <c r="A48" s="1" t="s">
        <v>9</v>
      </c>
      <c r="B48" s="6">
        <v>6003</v>
      </c>
      <c r="C48" s="11">
        <f t="shared" si="9"/>
        <v>1980.99</v>
      </c>
      <c r="D48" s="11"/>
      <c r="E48" s="11">
        <v>15</v>
      </c>
      <c r="F48" s="11">
        <f t="shared" si="10"/>
        <v>900.45</v>
      </c>
      <c r="G48" s="85">
        <v>40</v>
      </c>
      <c r="H48" s="6">
        <f t="shared" si="11"/>
        <v>165</v>
      </c>
      <c r="I48" s="5">
        <v>100</v>
      </c>
      <c r="J48" s="46">
        <f t="shared" si="12"/>
        <v>61.5</v>
      </c>
      <c r="K48" s="12">
        <f t="shared" si="13"/>
        <v>48.39</v>
      </c>
      <c r="L48" s="12">
        <f t="shared" si="14"/>
        <v>13.11</v>
      </c>
      <c r="M48" s="48">
        <f t="shared" si="15"/>
        <v>68.44</v>
      </c>
      <c r="N48" s="12">
        <f t="shared" si="16"/>
        <v>53.85</v>
      </c>
      <c r="O48" s="12">
        <f t="shared" si="17"/>
        <v>14.59</v>
      </c>
    </row>
    <row r="49" spans="1:15" ht="19.5" customHeight="1">
      <c r="A49" s="3" t="s">
        <v>10</v>
      </c>
      <c r="B49" s="6">
        <v>10218</v>
      </c>
      <c r="C49" s="11">
        <f t="shared" si="9"/>
        <v>3371.94</v>
      </c>
      <c r="D49" s="11"/>
      <c r="E49" s="11">
        <v>15</v>
      </c>
      <c r="F49" s="11">
        <f t="shared" si="10"/>
        <v>1532.7</v>
      </c>
      <c r="G49" s="85">
        <v>39</v>
      </c>
      <c r="H49" s="6">
        <f t="shared" si="11"/>
        <v>161</v>
      </c>
      <c r="I49" s="5">
        <v>100</v>
      </c>
      <c r="J49" s="46">
        <f t="shared" si="12"/>
        <v>107.28999999999999</v>
      </c>
      <c r="K49" s="12">
        <f t="shared" si="13"/>
        <v>84.41</v>
      </c>
      <c r="L49" s="12">
        <f t="shared" si="14"/>
        <v>22.88</v>
      </c>
      <c r="M49" s="48">
        <f t="shared" si="15"/>
        <v>119.39000000000001</v>
      </c>
      <c r="N49" s="12">
        <f t="shared" si="16"/>
        <v>93.93</v>
      </c>
      <c r="O49" s="12">
        <f t="shared" si="17"/>
        <v>25.46</v>
      </c>
    </row>
    <row r="50" spans="1:15" ht="15">
      <c r="A50" s="3" t="s">
        <v>11</v>
      </c>
      <c r="B50" s="6">
        <v>9655</v>
      </c>
      <c r="C50" s="11">
        <f t="shared" si="9"/>
        <v>3186.15</v>
      </c>
      <c r="D50" s="11"/>
      <c r="E50" s="11">
        <v>15</v>
      </c>
      <c r="F50" s="11">
        <f t="shared" si="10"/>
        <v>1448.25</v>
      </c>
      <c r="G50" s="85">
        <v>39</v>
      </c>
      <c r="H50" s="6">
        <f t="shared" si="11"/>
        <v>161</v>
      </c>
      <c r="I50" s="5">
        <v>100</v>
      </c>
      <c r="J50" s="46">
        <f t="shared" si="12"/>
        <v>101.37</v>
      </c>
      <c r="K50" s="12">
        <f t="shared" si="13"/>
        <v>79.76</v>
      </c>
      <c r="L50" s="12">
        <f t="shared" si="14"/>
        <v>21.61</v>
      </c>
      <c r="M50" s="48">
        <f t="shared" si="15"/>
        <v>112.8</v>
      </c>
      <c r="N50" s="12">
        <f t="shared" si="16"/>
        <v>88.75</v>
      </c>
      <c r="O50" s="12">
        <f t="shared" si="17"/>
        <v>24.05</v>
      </c>
    </row>
    <row r="51" spans="1:15" ht="15">
      <c r="A51" s="3" t="s">
        <v>12</v>
      </c>
      <c r="B51" s="6">
        <v>5778</v>
      </c>
      <c r="C51" s="11">
        <f t="shared" si="9"/>
        <v>1906.74</v>
      </c>
      <c r="D51" s="11"/>
      <c r="E51" s="11">
        <v>15</v>
      </c>
      <c r="F51" s="11">
        <f t="shared" si="10"/>
        <v>866.7</v>
      </c>
      <c r="G51" s="85">
        <v>40</v>
      </c>
      <c r="H51" s="6">
        <f t="shared" si="11"/>
        <v>165</v>
      </c>
      <c r="I51" s="5">
        <v>100</v>
      </c>
      <c r="J51" s="46">
        <f t="shared" si="12"/>
        <v>59.19</v>
      </c>
      <c r="K51" s="12">
        <f t="shared" si="13"/>
        <v>46.57</v>
      </c>
      <c r="L51" s="12">
        <f t="shared" si="14"/>
        <v>12.62</v>
      </c>
      <c r="M51" s="48">
        <f t="shared" si="15"/>
        <v>65.88</v>
      </c>
      <c r="N51" s="12">
        <f t="shared" si="16"/>
        <v>51.83</v>
      </c>
      <c r="O51" s="12">
        <f t="shared" si="17"/>
        <v>14.05</v>
      </c>
    </row>
    <row r="52" spans="1:15" ht="15">
      <c r="A52" s="3" t="s">
        <v>13</v>
      </c>
      <c r="B52" s="6">
        <v>5674</v>
      </c>
      <c r="C52" s="11">
        <f t="shared" si="9"/>
        <v>1872.42</v>
      </c>
      <c r="D52" s="11"/>
      <c r="E52" s="11">
        <v>15</v>
      </c>
      <c r="F52" s="11">
        <f t="shared" si="10"/>
        <v>851.1</v>
      </c>
      <c r="G52" s="85">
        <v>40</v>
      </c>
      <c r="H52" s="6">
        <f t="shared" si="11"/>
        <v>165</v>
      </c>
      <c r="I52" s="5">
        <v>100</v>
      </c>
      <c r="J52" s="46">
        <f t="shared" si="12"/>
        <v>58.14</v>
      </c>
      <c r="K52" s="12">
        <f t="shared" si="13"/>
        <v>45.74</v>
      </c>
      <c r="L52" s="12">
        <f t="shared" si="14"/>
        <v>12.4</v>
      </c>
      <c r="M52" s="48">
        <f t="shared" si="15"/>
        <v>64.68</v>
      </c>
      <c r="N52" s="12">
        <f t="shared" si="16"/>
        <v>50.89</v>
      </c>
      <c r="O52" s="12">
        <f t="shared" si="17"/>
        <v>13.79</v>
      </c>
    </row>
    <row r="53" spans="1:15" ht="15">
      <c r="A53" s="1" t="s">
        <v>14</v>
      </c>
      <c r="B53" s="6">
        <v>5778</v>
      </c>
      <c r="C53" s="11">
        <f t="shared" si="9"/>
        <v>1906.74</v>
      </c>
      <c r="D53" s="11"/>
      <c r="E53" s="11">
        <v>15</v>
      </c>
      <c r="F53" s="11">
        <f t="shared" si="10"/>
        <v>866.7</v>
      </c>
      <c r="G53" s="85">
        <v>40</v>
      </c>
      <c r="H53" s="6">
        <f t="shared" si="11"/>
        <v>165</v>
      </c>
      <c r="I53" s="5">
        <v>100</v>
      </c>
      <c r="J53" s="46">
        <f t="shared" si="12"/>
        <v>59.19</v>
      </c>
      <c r="K53" s="12">
        <f t="shared" si="13"/>
        <v>46.57</v>
      </c>
      <c r="L53" s="12">
        <f t="shared" si="14"/>
        <v>12.62</v>
      </c>
      <c r="M53" s="48">
        <f t="shared" si="15"/>
        <v>65.88</v>
      </c>
      <c r="N53" s="12">
        <f t="shared" si="16"/>
        <v>51.83</v>
      </c>
      <c r="O53" s="12">
        <f t="shared" si="17"/>
        <v>14.05</v>
      </c>
    </row>
    <row r="54" spans="1:15" ht="15">
      <c r="A54" s="1" t="s">
        <v>15</v>
      </c>
      <c r="B54" s="6">
        <v>5673</v>
      </c>
      <c r="C54" s="11">
        <f t="shared" si="9"/>
        <v>1872.09</v>
      </c>
      <c r="D54" s="11"/>
      <c r="E54" s="11">
        <v>15</v>
      </c>
      <c r="F54" s="11">
        <f t="shared" si="10"/>
        <v>850.95</v>
      </c>
      <c r="G54" s="85">
        <v>40</v>
      </c>
      <c r="H54" s="6">
        <f t="shared" si="11"/>
        <v>165</v>
      </c>
      <c r="I54" s="5">
        <v>100</v>
      </c>
      <c r="J54" s="46">
        <f t="shared" si="12"/>
        <v>58.12</v>
      </c>
      <c r="K54" s="12">
        <f t="shared" si="13"/>
        <v>45.73</v>
      </c>
      <c r="L54" s="12">
        <f t="shared" si="14"/>
        <v>12.39</v>
      </c>
      <c r="M54" s="48">
        <f t="shared" si="15"/>
        <v>64.68</v>
      </c>
      <c r="N54" s="12">
        <f t="shared" si="16"/>
        <v>50.89</v>
      </c>
      <c r="O54" s="12">
        <f t="shared" si="17"/>
        <v>13.79</v>
      </c>
    </row>
    <row r="55" spans="1:15" ht="16.5" customHeight="1">
      <c r="A55" s="1" t="s">
        <v>15</v>
      </c>
      <c r="B55" s="6">
        <v>5252</v>
      </c>
      <c r="C55" s="11">
        <f t="shared" si="9"/>
        <v>1733.16</v>
      </c>
      <c r="D55" s="11"/>
      <c r="E55" s="11">
        <v>15</v>
      </c>
      <c r="F55" s="11">
        <f t="shared" si="10"/>
        <v>787.8</v>
      </c>
      <c r="G55" s="85">
        <v>40</v>
      </c>
      <c r="H55" s="6">
        <f t="shared" si="11"/>
        <v>165</v>
      </c>
      <c r="I55" s="5">
        <v>100</v>
      </c>
      <c r="J55" s="46">
        <f t="shared" si="12"/>
        <v>53.8</v>
      </c>
      <c r="K55" s="12">
        <f t="shared" si="13"/>
        <v>42.33</v>
      </c>
      <c r="L55" s="12">
        <f t="shared" si="14"/>
        <v>11.47</v>
      </c>
      <c r="M55" s="48">
        <f t="shared" si="15"/>
        <v>59.879999999999995</v>
      </c>
      <c r="N55" s="12">
        <f t="shared" si="16"/>
        <v>47.11</v>
      </c>
      <c r="O55" s="12">
        <f t="shared" si="17"/>
        <v>12.77</v>
      </c>
    </row>
    <row r="56" spans="1:15" ht="15" customHeight="1">
      <c r="A56" s="1" t="s">
        <v>15</v>
      </c>
      <c r="B56" s="6">
        <v>4203</v>
      </c>
      <c r="C56" s="11">
        <f t="shared" si="9"/>
        <v>1386.99</v>
      </c>
      <c r="D56" s="11"/>
      <c r="E56" s="11">
        <v>15</v>
      </c>
      <c r="F56" s="11">
        <f t="shared" si="10"/>
        <v>630.45</v>
      </c>
      <c r="G56" s="85">
        <v>40</v>
      </c>
      <c r="H56" s="6">
        <f t="shared" si="11"/>
        <v>165</v>
      </c>
      <c r="I56" s="5">
        <v>100</v>
      </c>
      <c r="J56" s="46">
        <f t="shared" si="12"/>
        <v>43.06</v>
      </c>
      <c r="K56" s="12">
        <f t="shared" si="13"/>
        <v>33.88</v>
      </c>
      <c r="L56" s="12">
        <f t="shared" si="14"/>
        <v>9.18</v>
      </c>
      <c r="M56" s="48">
        <f t="shared" si="15"/>
        <v>47.92</v>
      </c>
      <c r="N56" s="12">
        <f t="shared" si="16"/>
        <v>37.7</v>
      </c>
      <c r="O56" s="12">
        <f t="shared" si="17"/>
        <v>10.22</v>
      </c>
    </row>
    <row r="57" spans="1:15" ht="15">
      <c r="A57" s="43" t="s">
        <v>16</v>
      </c>
      <c r="B57" s="6">
        <v>4203</v>
      </c>
      <c r="C57" s="11">
        <f t="shared" si="9"/>
        <v>1386.99</v>
      </c>
      <c r="D57" s="11"/>
      <c r="E57" s="11">
        <v>15</v>
      </c>
      <c r="F57" s="11">
        <f t="shared" si="10"/>
        <v>630.45</v>
      </c>
      <c r="G57" s="85">
        <v>40</v>
      </c>
      <c r="H57" s="6">
        <f t="shared" si="11"/>
        <v>165</v>
      </c>
      <c r="I57" s="5">
        <v>100</v>
      </c>
      <c r="J57" s="46">
        <f t="shared" si="12"/>
        <v>43.06</v>
      </c>
      <c r="K57" s="12">
        <f t="shared" si="13"/>
        <v>33.88</v>
      </c>
      <c r="L57" s="12">
        <f t="shared" si="14"/>
        <v>9.18</v>
      </c>
      <c r="M57" s="48">
        <f t="shared" si="15"/>
        <v>47.92</v>
      </c>
      <c r="N57" s="12">
        <f t="shared" si="16"/>
        <v>37.7</v>
      </c>
      <c r="O57" s="12">
        <f t="shared" si="17"/>
        <v>10.22</v>
      </c>
    </row>
    <row r="58" spans="1:15" ht="15">
      <c r="A58" s="3" t="s">
        <v>17</v>
      </c>
      <c r="B58" s="6">
        <v>4203</v>
      </c>
      <c r="C58" s="11">
        <f t="shared" si="9"/>
        <v>1386.99</v>
      </c>
      <c r="D58" s="11"/>
      <c r="E58" s="11">
        <v>15</v>
      </c>
      <c r="F58" s="11">
        <f t="shared" si="10"/>
        <v>630.45</v>
      </c>
      <c r="G58" s="85">
        <v>40</v>
      </c>
      <c r="H58" s="6">
        <f t="shared" si="11"/>
        <v>165</v>
      </c>
      <c r="I58" s="5">
        <v>100</v>
      </c>
      <c r="J58" s="46">
        <f t="shared" si="12"/>
        <v>43.06</v>
      </c>
      <c r="K58" s="12">
        <f t="shared" si="13"/>
        <v>33.88</v>
      </c>
      <c r="L58" s="12">
        <f t="shared" si="14"/>
        <v>9.18</v>
      </c>
      <c r="M58" s="48">
        <f t="shared" si="15"/>
        <v>47.92</v>
      </c>
      <c r="N58" s="12">
        <f t="shared" si="16"/>
        <v>37.7</v>
      </c>
      <c r="O58" s="12">
        <f t="shared" si="17"/>
        <v>10.22</v>
      </c>
    </row>
    <row r="59" spans="1:15" ht="18.75" customHeight="1">
      <c r="A59" s="3" t="s">
        <v>18</v>
      </c>
      <c r="B59" s="6">
        <v>4203</v>
      </c>
      <c r="C59" s="11">
        <f t="shared" si="9"/>
        <v>1386.99</v>
      </c>
      <c r="D59" s="11"/>
      <c r="E59" s="11">
        <v>15</v>
      </c>
      <c r="F59" s="11">
        <f t="shared" si="10"/>
        <v>630.45</v>
      </c>
      <c r="G59" s="85">
        <v>40</v>
      </c>
      <c r="H59" s="6">
        <f t="shared" si="11"/>
        <v>165</v>
      </c>
      <c r="I59" s="5">
        <v>100</v>
      </c>
      <c r="J59" s="46">
        <f t="shared" si="12"/>
        <v>43.06</v>
      </c>
      <c r="K59" s="12">
        <f t="shared" si="13"/>
        <v>33.88</v>
      </c>
      <c r="L59" s="12">
        <f t="shared" si="14"/>
        <v>9.18</v>
      </c>
      <c r="M59" s="48">
        <f t="shared" si="15"/>
        <v>47.92</v>
      </c>
      <c r="N59" s="12">
        <f t="shared" si="16"/>
        <v>37.7</v>
      </c>
      <c r="O59" s="12">
        <f t="shared" si="17"/>
        <v>10.22</v>
      </c>
    </row>
    <row r="60" spans="1:15" ht="30" customHeight="1">
      <c r="A60" s="3" t="s">
        <v>19</v>
      </c>
      <c r="B60" s="6">
        <v>4203</v>
      </c>
      <c r="C60" s="11">
        <f t="shared" si="9"/>
        <v>1386.99</v>
      </c>
      <c r="D60" s="11">
        <f>ROUND(B60*4%,2)</f>
        <v>168.12</v>
      </c>
      <c r="E60" s="11">
        <v>15</v>
      </c>
      <c r="F60" s="11">
        <f t="shared" si="10"/>
        <v>630.45</v>
      </c>
      <c r="G60" s="85">
        <v>40</v>
      </c>
      <c r="H60" s="6">
        <f t="shared" si="11"/>
        <v>165</v>
      </c>
      <c r="I60" s="5">
        <v>100</v>
      </c>
      <c r="J60" s="46">
        <f t="shared" si="12"/>
        <v>44.36</v>
      </c>
      <c r="K60" s="12">
        <f t="shared" si="13"/>
        <v>34.9</v>
      </c>
      <c r="L60" s="12">
        <f t="shared" si="14"/>
        <v>9.46</v>
      </c>
      <c r="M60" s="48">
        <f t="shared" si="15"/>
        <v>49.21</v>
      </c>
      <c r="N60" s="12">
        <f t="shared" si="16"/>
        <v>38.72</v>
      </c>
      <c r="O60" s="12">
        <f>ROUND(N60*27.1%,2)</f>
        <v>10.49</v>
      </c>
    </row>
    <row r="61" spans="1:15" ht="30" customHeight="1">
      <c r="A61" s="1" t="s">
        <v>20</v>
      </c>
      <c r="B61" s="6">
        <v>4203</v>
      </c>
      <c r="C61" s="11">
        <f t="shared" si="9"/>
        <v>1386.99</v>
      </c>
      <c r="D61" s="11"/>
      <c r="E61" s="11">
        <v>15</v>
      </c>
      <c r="F61" s="11">
        <f t="shared" si="10"/>
        <v>630.45</v>
      </c>
      <c r="G61" s="85">
        <v>40</v>
      </c>
      <c r="H61" s="6">
        <f t="shared" si="11"/>
        <v>165</v>
      </c>
      <c r="I61" s="5">
        <v>100</v>
      </c>
      <c r="J61" s="46">
        <f t="shared" si="12"/>
        <v>43.06</v>
      </c>
      <c r="K61" s="12">
        <f t="shared" si="13"/>
        <v>33.88</v>
      </c>
      <c r="L61" s="12">
        <f t="shared" si="14"/>
        <v>9.18</v>
      </c>
      <c r="M61" s="48">
        <f t="shared" si="15"/>
        <v>47.92</v>
      </c>
      <c r="N61" s="12">
        <f t="shared" si="16"/>
        <v>37.7</v>
      </c>
      <c r="O61" s="12">
        <f t="shared" si="17"/>
        <v>10.22</v>
      </c>
    </row>
    <row r="62" spans="1:15" ht="15">
      <c r="A62" s="3" t="s">
        <v>21</v>
      </c>
      <c r="B62" s="6">
        <v>4203</v>
      </c>
      <c r="C62" s="11">
        <f t="shared" si="9"/>
        <v>1386.99</v>
      </c>
      <c r="D62" s="11">
        <f>ROUND(B62*4%,2)</f>
        <v>168.12</v>
      </c>
      <c r="E62" s="11">
        <v>15</v>
      </c>
      <c r="F62" s="11">
        <f t="shared" si="10"/>
        <v>630.45</v>
      </c>
      <c r="G62" s="85">
        <v>40</v>
      </c>
      <c r="H62" s="6">
        <f t="shared" si="11"/>
        <v>165</v>
      </c>
      <c r="I62" s="5">
        <v>100</v>
      </c>
      <c r="J62" s="46">
        <f t="shared" si="12"/>
        <v>44.36</v>
      </c>
      <c r="K62" s="12">
        <f t="shared" si="13"/>
        <v>34.9</v>
      </c>
      <c r="L62" s="12">
        <f t="shared" si="14"/>
        <v>9.46</v>
      </c>
      <c r="M62" s="48">
        <f t="shared" si="15"/>
        <v>49.21</v>
      </c>
      <c r="N62" s="12">
        <f t="shared" si="16"/>
        <v>38.72</v>
      </c>
      <c r="O62" s="12">
        <f t="shared" si="17"/>
        <v>10.49</v>
      </c>
    </row>
    <row r="63" spans="1:15" ht="15">
      <c r="A63" s="3" t="s">
        <v>22</v>
      </c>
      <c r="B63" s="6">
        <v>4203</v>
      </c>
      <c r="C63" s="11">
        <f t="shared" si="9"/>
        <v>1386.99</v>
      </c>
      <c r="D63" s="11"/>
      <c r="E63" s="11">
        <v>15</v>
      </c>
      <c r="F63" s="11">
        <f t="shared" si="10"/>
        <v>630.45</v>
      </c>
      <c r="G63" s="85">
        <v>40</v>
      </c>
      <c r="H63" s="6">
        <f t="shared" si="11"/>
        <v>165</v>
      </c>
      <c r="I63" s="5">
        <v>100</v>
      </c>
      <c r="J63" s="46">
        <f t="shared" si="12"/>
        <v>43.06</v>
      </c>
      <c r="K63" s="12">
        <f t="shared" si="13"/>
        <v>33.88</v>
      </c>
      <c r="L63" s="12">
        <f t="shared" si="14"/>
        <v>9.18</v>
      </c>
      <c r="M63" s="48">
        <f t="shared" si="15"/>
        <v>47.92</v>
      </c>
      <c r="N63" s="12">
        <f t="shared" si="16"/>
        <v>37.7</v>
      </c>
      <c r="O63" s="12">
        <f t="shared" si="17"/>
        <v>10.22</v>
      </c>
    </row>
    <row r="64" spans="1:15" ht="15">
      <c r="A64" s="3" t="s">
        <v>23</v>
      </c>
      <c r="B64" s="6">
        <v>4203</v>
      </c>
      <c r="C64" s="11">
        <f t="shared" si="9"/>
        <v>1386.99</v>
      </c>
      <c r="D64" s="11"/>
      <c r="E64" s="11">
        <v>15</v>
      </c>
      <c r="F64" s="11">
        <f t="shared" si="10"/>
        <v>630.45</v>
      </c>
      <c r="G64" s="85">
        <v>40</v>
      </c>
      <c r="H64" s="6">
        <f t="shared" si="11"/>
        <v>165</v>
      </c>
      <c r="I64" s="5">
        <v>100</v>
      </c>
      <c r="J64" s="46">
        <f t="shared" si="12"/>
        <v>43.06</v>
      </c>
      <c r="K64" s="12">
        <f t="shared" si="13"/>
        <v>33.88</v>
      </c>
      <c r="L64" s="12">
        <f t="shared" si="14"/>
        <v>9.18</v>
      </c>
      <c r="M64" s="48">
        <f t="shared" si="15"/>
        <v>47.92</v>
      </c>
      <c r="N64" s="12">
        <f t="shared" si="16"/>
        <v>37.7</v>
      </c>
      <c r="O64" s="12">
        <f t="shared" si="17"/>
        <v>10.22</v>
      </c>
    </row>
    <row r="66" spans="1:15" ht="15">
      <c r="A66" s="184" t="s">
        <v>64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</row>
    <row r="68" spans="1:15" s="9" customFormat="1" ht="94.5" customHeight="1">
      <c r="A68" s="39" t="s">
        <v>63</v>
      </c>
      <c r="B68" s="39" t="s">
        <v>27</v>
      </c>
      <c r="C68" s="39" t="s">
        <v>25</v>
      </c>
      <c r="D68" s="39" t="s">
        <v>26</v>
      </c>
      <c r="E68" s="39" t="s">
        <v>61</v>
      </c>
      <c r="F68" s="39" t="s">
        <v>62</v>
      </c>
      <c r="G68" s="83" t="s">
        <v>29</v>
      </c>
      <c r="H68" s="39" t="s">
        <v>28</v>
      </c>
      <c r="I68" s="84" t="s">
        <v>96</v>
      </c>
      <c r="J68" s="45" t="s">
        <v>30</v>
      </c>
      <c r="K68" s="84" t="s">
        <v>95</v>
      </c>
      <c r="L68" s="84" t="s">
        <v>119</v>
      </c>
      <c r="M68" s="47" t="s">
        <v>60</v>
      </c>
      <c r="N68" s="84" t="s">
        <v>95</v>
      </c>
      <c r="O68" s="84" t="s">
        <v>119</v>
      </c>
    </row>
    <row r="69" spans="1:15" ht="15">
      <c r="A69" s="2" t="s">
        <v>3</v>
      </c>
      <c r="B69" s="4">
        <v>21318</v>
      </c>
      <c r="C69" s="11">
        <f>ROUND(B69*33%,2)</f>
        <v>7034.94</v>
      </c>
      <c r="D69" s="11"/>
      <c r="E69" s="11">
        <v>15</v>
      </c>
      <c r="F69" s="11">
        <f>ROUND(B69*E69/100,2)</f>
        <v>3197.7</v>
      </c>
      <c r="G69" s="85">
        <v>40</v>
      </c>
      <c r="H69" s="6">
        <f>ROUND(247/12/5*G69,0)</f>
        <v>165</v>
      </c>
      <c r="I69" s="5">
        <v>10</v>
      </c>
      <c r="J69" s="46">
        <f>K69+L69</f>
        <v>21.84</v>
      </c>
      <c r="K69" s="12">
        <f>ROUND((B69+C69+D69)/H69*I69/100,2)</f>
        <v>17.18</v>
      </c>
      <c r="L69" s="12">
        <f>ROUND(K69*27.1%,2)</f>
        <v>4.66</v>
      </c>
      <c r="M69" s="48">
        <f>N69+O69</f>
        <v>24.3</v>
      </c>
      <c r="N69" s="12">
        <f>ROUND((B69+C69+D69+F69)/H69*I69/100,2)</f>
        <v>19.12</v>
      </c>
      <c r="O69" s="12">
        <f>ROUND(N69*27.1%,2)</f>
        <v>5.18</v>
      </c>
    </row>
    <row r="70" spans="1:15" ht="30" customHeight="1">
      <c r="A70" s="2" t="s">
        <v>4</v>
      </c>
      <c r="B70" s="4"/>
      <c r="C70" s="11">
        <f>ROUND(B70*33%,2)</f>
        <v>0</v>
      </c>
      <c r="D70" s="11"/>
      <c r="E70" s="11">
        <v>15</v>
      </c>
      <c r="F70" s="11">
        <f>ROUND(B70*E70/100,2)</f>
        <v>0</v>
      </c>
      <c r="G70" s="85">
        <v>40</v>
      </c>
      <c r="H70" s="6">
        <f aca="true" t="shared" si="18" ref="H70:H96">ROUND(247/12/5*G70,0)</f>
        <v>165</v>
      </c>
      <c r="I70" s="5">
        <v>10</v>
      </c>
      <c r="J70" s="46">
        <f aca="true" t="shared" si="19" ref="J70:J96">K70+L70</f>
        <v>0</v>
      </c>
      <c r="K70" s="12">
        <f aca="true" t="shared" si="20" ref="K70:K96">ROUND((B70+C70+D70)/H70*I70/100,2)</f>
        <v>0</v>
      </c>
      <c r="L70" s="12">
        <f aca="true" t="shared" si="21" ref="L70:L96">ROUND(K70*27.1%,2)</f>
        <v>0</v>
      </c>
      <c r="M70" s="48">
        <f aca="true" t="shared" si="22" ref="M70:M96">N70+O70</f>
        <v>0</v>
      </c>
      <c r="N70" s="12">
        <f aca="true" t="shared" si="23" ref="N70:N96">ROUND((B70+C70+D70+F70)/H70*I70/100,2)</f>
        <v>0</v>
      </c>
      <c r="O70" s="12">
        <f aca="true" t="shared" si="24" ref="O70:O96">ROUND(N70*27.1%,2)</f>
        <v>0</v>
      </c>
    </row>
    <row r="71" spans="1:15" ht="45">
      <c r="A71" s="2" t="s">
        <v>5</v>
      </c>
      <c r="B71" s="4"/>
      <c r="C71" s="11">
        <f>ROUND(B71*33%,2)</f>
        <v>0</v>
      </c>
      <c r="D71" s="11"/>
      <c r="E71" s="11">
        <v>15</v>
      </c>
      <c r="F71" s="11">
        <f>ROUND(B71*E71/100,2)</f>
        <v>0</v>
      </c>
      <c r="G71" s="85">
        <v>40</v>
      </c>
      <c r="H71" s="6">
        <f t="shared" si="18"/>
        <v>165</v>
      </c>
      <c r="I71" s="5">
        <v>100</v>
      </c>
      <c r="J71" s="46">
        <f t="shared" si="19"/>
        <v>0</v>
      </c>
      <c r="K71" s="12">
        <f t="shared" si="20"/>
        <v>0</v>
      </c>
      <c r="L71" s="12">
        <f t="shared" si="21"/>
        <v>0</v>
      </c>
      <c r="M71" s="48">
        <f t="shared" si="22"/>
        <v>0</v>
      </c>
      <c r="N71" s="12">
        <f t="shared" si="23"/>
        <v>0</v>
      </c>
      <c r="O71" s="12">
        <f t="shared" si="24"/>
        <v>0</v>
      </c>
    </row>
    <row r="72" spans="1:15" ht="15">
      <c r="A72" s="3" t="s">
        <v>6</v>
      </c>
      <c r="B72" s="5">
        <v>25618</v>
      </c>
      <c r="C72" s="11"/>
      <c r="D72" s="12"/>
      <c r="E72" s="12"/>
      <c r="F72" s="11"/>
      <c r="G72" s="85">
        <v>36</v>
      </c>
      <c r="H72" s="6">
        <f t="shared" si="18"/>
        <v>148</v>
      </c>
      <c r="I72" s="5">
        <v>100</v>
      </c>
      <c r="J72" s="46">
        <f>K72+L72</f>
        <v>220</v>
      </c>
      <c r="K72" s="12">
        <f t="shared" si="20"/>
        <v>173.09</v>
      </c>
      <c r="L72" s="12">
        <f t="shared" si="21"/>
        <v>46.91</v>
      </c>
      <c r="M72" s="48">
        <f t="shared" si="22"/>
        <v>220</v>
      </c>
      <c r="N72" s="12">
        <f t="shared" si="23"/>
        <v>173.09</v>
      </c>
      <c r="O72" s="12">
        <f t="shared" si="24"/>
        <v>46.91</v>
      </c>
    </row>
    <row r="73" spans="1:15" ht="15">
      <c r="A73" s="3" t="s">
        <v>56</v>
      </c>
      <c r="B73" s="5">
        <v>25618</v>
      </c>
      <c r="C73" s="11"/>
      <c r="D73" s="12"/>
      <c r="E73" s="12"/>
      <c r="F73" s="11"/>
      <c r="G73" s="85">
        <v>36</v>
      </c>
      <c r="H73" s="6">
        <f t="shared" si="18"/>
        <v>148</v>
      </c>
      <c r="I73" s="5">
        <v>100</v>
      </c>
      <c r="J73" s="46">
        <f t="shared" si="19"/>
        <v>220</v>
      </c>
      <c r="K73" s="12">
        <f t="shared" si="20"/>
        <v>173.09</v>
      </c>
      <c r="L73" s="12">
        <f t="shared" si="21"/>
        <v>46.91</v>
      </c>
      <c r="M73" s="48">
        <f t="shared" si="22"/>
        <v>220</v>
      </c>
      <c r="N73" s="12">
        <f t="shared" si="23"/>
        <v>173.09</v>
      </c>
      <c r="O73" s="12">
        <f t="shared" si="24"/>
        <v>46.91</v>
      </c>
    </row>
    <row r="74" spans="1:15" ht="18.75" customHeight="1">
      <c r="A74" s="1" t="s">
        <v>69</v>
      </c>
      <c r="B74" s="5">
        <v>25618</v>
      </c>
      <c r="C74" s="11"/>
      <c r="D74" s="11"/>
      <c r="E74" s="12"/>
      <c r="F74" s="11"/>
      <c r="G74" s="85">
        <v>30</v>
      </c>
      <c r="H74" s="6">
        <f t="shared" si="18"/>
        <v>124</v>
      </c>
      <c r="I74" s="5">
        <v>100</v>
      </c>
      <c r="J74" s="46">
        <f t="shared" si="19"/>
        <v>262.59</v>
      </c>
      <c r="K74" s="12">
        <f t="shared" si="20"/>
        <v>206.6</v>
      </c>
      <c r="L74" s="12">
        <f t="shared" si="21"/>
        <v>55.99</v>
      </c>
      <c r="M74" s="48">
        <f t="shared" si="22"/>
        <v>262.59</v>
      </c>
      <c r="N74" s="12">
        <f t="shared" si="23"/>
        <v>206.6</v>
      </c>
      <c r="O74" s="12">
        <f t="shared" si="24"/>
        <v>55.99</v>
      </c>
    </row>
    <row r="75" spans="1:15" ht="20.25" customHeight="1">
      <c r="A75" s="1" t="s">
        <v>70</v>
      </c>
      <c r="B75" s="5">
        <v>25618</v>
      </c>
      <c r="C75" s="11"/>
      <c r="D75" s="11"/>
      <c r="E75" s="12"/>
      <c r="F75" s="11"/>
      <c r="G75" s="85">
        <v>24</v>
      </c>
      <c r="H75" s="6">
        <f t="shared" si="18"/>
        <v>99</v>
      </c>
      <c r="I75" s="5">
        <v>100</v>
      </c>
      <c r="J75" s="46">
        <f t="shared" si="19"/>
        <v>328.9</v>
      </c>
      <c r="K75" s="12">
        <f t="shared" si="20"/>
        <v>258.77</v>
      </c>
      <c r="L75" s="12">
        <f t="shared" si="21"/>
        <v>70.13</v>
      </c>
      <c r="M75" s="48">
        <f t="shared" si="22"/>
        <v>328.9</v>
      </c>
      <c r="N75" s="12">
        <f t="shared" si="23"/>
        <v>258.77</v>
      </c>
      <c r="O75" s="12">
        <f t="shared" si="24"/>
        <v>70.13</v>
      </c>
    </row>
    <row r="76" spans="1:15" ht="18" customHeight="1">
      <c r="A76" s="1" t="s">
        <v>58</v>
      </c>
      <c r="B76" s="5">
        <v>25618</v>
      </c>
      <c r="C76" s="11"/>
      <c r="D76" s="11"/>
      <c r="E76" s="12"/>
      <c r="F76" s="11"/>
      <c r="G76" s="85">
        <v>18</v>
      </c>
      <c r="H76" s="6">
        <f t="shared" si="18"/>
        <v>74</v>
      </c>
      <c r="I76" s="5">
        <v>100</v>
      </c>
      <c r="J76" s="46">
        <f t="shared" si="19"/>
        <v>440.01</v>
      </c>
      <c r="K76" s="12">
        <f t="shared" si="20"/>
        <v>346.19</v>
      </c>
      <c r="L76" s="12">
        <f t="shared" si="21"/>
        <v>93.82</v>
      </c>
      <c r="M76" s="48">
        <f t="shared" si="22"/>
        <v>440.01</v>
      </c>
      <c r="N76" s="12">
        <f t="shared" si="23"/>
        <v>346.19</v>
      </c>
      <c r="O76" s="12">
        <f t="shared" si="24"/>
        <v>93.82</v>
      </c>
    </row>
    <row r="77" spans="1:15" ht="30">
      <c r="A77" s="43" t="s">
        <v>59</v>
      </c>
      <c r="B77" s="5">
        <v>25618</v>
      </c>
      <c r="C77" s="11"/>
      <c r="D77" s="11"/>
      <c r="E77" s="12"/>
      <c r="F77" s="11"/>
      <c r="G77" s="85">
        <v>20</v>
      </c>
      <c r="H77" s="6">
        <f t="shared" si="18"/>
        <v>82</v>
      </c>
      <c r="I77" s="5">
        <v>100</v>
      </c>
      <c r="J77" s="46">
        <f t="shared" si="19"/>
        <v>397.07000000000005</v>
      </c>
      <c r="K77" s="12">
        <f t="shared" si="20"/>
        <v>312.41</v>
      </c>
      <c r="L77" s="12">
        <f t="shared" si="21"/>
        <v>84.66</v>
      </c>
      <c r="M77" s="48">
        <f t="shared" si="22"/>
        <v>397.07000000000005</v>
      </c>
      <c r="N77" s="12">
        <f t="shared" si="23"/>
        <v>312.41</v>
      </c>
      <c r="O77" s="12">
        <f t="shared" si="24"/>
        <v>84.66</v>
      </c>
    </row>
    <row r="78" spans="1:15" ht="19.5" customHeight="1">
      <c r="A78" s="1" t="s">
        <v>7</v>
      </c>
      <c r="B78" s="6">
        <v>4503</v>
      </c>
      <c r="C78" s="11">
        <f aca="true" t="shared" si="25" ref="C78:C96">ROUND(B78*33%,2)</f>
        <v>1485.99</v>
      </c>
      <c r="D78" s="11"/>
      <c r="E78" s="11">
        <v>15</v>
      </c>
      <c r="F78" s="11">
        <f aca="true" t="shared" si="26" ref="F78:F96">ROUND(B78*E78/100,2)</f>
        <v>675.45</v>
      </c>
      <c r="G78" s="85">
        <v>40</v>
      </c>
      <c r="H78" s="6">
        <f t="shared" si="18"/>
        <v>165</v>
      </c>
      <c r="I78" s="5">
        <v>10</v>
      </c>
      <c r="J78" s="46">
        <f t="shared" si="19"/>
        <v>4.609999999999999</v>
      </c>
      <c r="K78" s="12">
        <f>ROUND((B78+C78+D78)/H78*I78/100,2)</f>
        <v>3.63</v>
      </c>
      <c r="L78" s="12">
        <f t="shared" si="21"/>
        <v>0.98</v>
      </c>
      <c r="M78" s="48">
        <f t="shared" si="22"/>
        <v>5.13</v>
      </c>
      <c r="N78" s="12">
        <f t="shared" si="23"/>
        <v>4.04</v>
      </c>
      <c r="O78" s="12">
        <f t="shared" si="24"/>
        <v>1.09</v>
      </c>
    </row>
    <row r="79" spans="1:15" ht="15">
      <c r="A79" s="1" t="s">
        <v>8</v>
      </c>
      <c r="B79" s="6">
        <v>5252</v>
      </c>
      <c r="C79" s="11">
        <f t="shared" si="25"/>
        <v>1733.16</v>
      </c>
      <c r="D79" s="11"/>
      <c r="E79" s="11">
        <v>15</v>
      </c>
      <c r="F79" s="11">
        <f t="shared" si="26"/>
        <v>787.8</v>
      </c>
      <c r="G79" s="85">
        <v>40</v>
      </c>
      <c r="H79" s="6">
        <f t="shared" si="18"/>
        <v>165</v>
      </c>
      <c r="I79" s="5">
        <v>10</v>
      </c>
      <c r="J79" s="46">
        <f t="shared" si="19"/>
        <v>5.380000000000001</v>
      </c>
      <c r="K79" s="12">
        <f t="shared" si="20"/>
        <v>4.23</v>
      </c>
      <c r="L79" s="12">
        <f t="shared" si="21"/>
        <v>1.15</v>
      </c>
      <c r="M79" s="48">
        <f t="shared" si="22"/>
        <v>5.99</v>
      </c>
      <c r="N79" s="12">
        <f t="shared" si="23"/>
        <v>4.71</v>
      </c>
      <c r="O79" s="12">
        <f t="shared" si="24"/>
        <v>1.28</v>
      </c>
    </row>
    <row r="80" spans="1:15" ht="15">
      <c r="A80" s="1" t="s">
        <v>9</v>
      </c>
      <c r="B80" s="6">
        <v>6003</v>
      </c>
      <c r="C80" s="11">
        <f t="shared" si="25"/>
        <v>1980.99</v>
      </c>
      <c r="D80" s="11"/>
      <c r="E80" s="11">
        <v>15</v>
      </c>
      <c r="F80" s="11">
        <f t="shared" si="26"/>
        <v>900.45</v>
      </c>
      <c r="G80" s="85">
        <v>40</v>
      </c>
      <c r="H80" s="6">
        <f t="shared" si="18"/>
        <v>165</v>
      </c>
      <c r="I80" s="5">
        <v>10</v>
      </c>
      <c r="J80" s="46">
        <f t="shared" si="19"/>
        <v>6.15</v>
      </c>
      <c r="K80" s="12">
        <f t="shared" si="20"/>
        <v>4.84</v>
      </c>
      <c r="L80" s="12">
        <f t="shared" si="21"/>
        <v>1.31</v>
      </c>
      <c r="M80" s="48">
        <f t="shared" si="22"/>
        <v>6.84</v>
      </c>
      <c r="N80" s="12">
        <f t="shared" si="23"/>
        <v>5.38</v>
      </c>
      <c r="O80" s="12">
        <f t="shared" si="24"/>
        <v>1.46</v>
      </c>
    </row>
    <row r="81" spans="1:15" ht="19.5" customHeight="1">
      <c r="A81" s="3" t="s">
        <v>10</v>
      </c>
      <c r="B81" s="6">
        <v>10218</v>
      </c>
      <c r="C81" s="11">
        <f t="shared" si="25"/>
        <v>3371.94</v>
      </c>
      <c r="D81" s="11"/>
      <c r="E81" s="11">
        <v>15</v>
      </c>
      <c r="F81" s="11">
        <f t="shared" si="26"/>
        <v>1532.7</v>
      </c>
      <c r="G81" s="85">
        <v>39</v>
      </c>
      <c r="H81" s="6">
        <f t="shared" si="18"/>
        <v>161</v>
      </c>
      <c r="I81" s="5">
        <v>10</v>
      </c>
      <c r="J81" s="46">
        <f t="shared" si="19"/>
        <v>10.73</v>
      </c>
      <c r="K81" s="12">
        <f t="shared" si="20"/>
        <v>8.44</v>
      </c>
      <c r="L81" s="12">
        <f t="shared" si="21"/>
        <v>2.29</v>
      </c>
      <c r="M81" s="48">
        <f t="shared" si="22"/>
        <v>11.93</v>
      </c>
      <c r="N81" s="12">
        <f t="shared" si="23"/>
        <v>9.39</v>
      </c>
      <c r="O81" s="12">
        <f t="shared" si="24"/>
        <v>2.54</v>
      </c>
    </row>
    <row r="82" spans="1:15" ht="15">
      <c r="A82" s="3" t="s">
        <v>11</v>
      </c>
      <c r="B82" s="6">
        <v>9655</v>
      </c>
      <c r="C82" s="11">
        <f t="shared" si="25"/>
        <v>3186.15</v>
      </c>
      <c r="D82" s="11"/>
      <c r="E82" s="11">
        <v>15</v>
      </c>
      <c r="F82" s="11">
        <f t="shared" si="26"/>
        <v>1448.25</v>
      </c>
      <c r="G82" s="85">
        <v>39</v>
      </c>
      <c r="H82" s="6">
        <f t="shared" si="18"/>
        <v>161</v>
      </c>
      <c r="I82" s="5">
        <v>10</v>
      </c>
      <c r="J82" s="46">
        <f t="shared" si="19"/>
        <v>10.14</v>
      </c>
      <c r="K82" s="12">
        <f t="shared" si="20"/>
        <v>7.98</v>
      </c>
      <c r="L82" s="12">
        <f t="shared" si="21"/>
        <v>2.16</v>
      </c>
      <c r="M82" s="48">
        <f t="shared" si="22"/>
        <v>11.290000000000001</v>
      </c>
      <c r="N82" s="12">
        <f t="shared" si="23"/>
        <v>8.88</v>
      </c>
      <c r="O82" s="12">
        <f t="shared" si="24"/>
        <v>2.41</v>
      </c>
    </row>
    <row r="83" spans="1:15" ht="15">
      <c r="A83" s="3" t="s">
        <v>12</v>
      </c>
      <c r="B83" s="6">
        <v>5778</v>
      </c>
      <c r="C83" s="11">
        <f t="shared" si="25"/>
        <v>1906.74</v>
      </c>
      <c r="D83" s="11"/>
      <c r="E83" s="11">
        <v>15</v>
      </c>
      <c r="F83" s="11">
        <f t="shared" si="26"/>
        <v>866.7</v>
      </c>
      <c r="G83" s="85">
        <v>40</v>
      </c>
      <c r="H83" s="6">
        <f t="shared" si="18"/>
        <v>165</v>
      </c>
      <c r="I83" s="5">
        <v>10</v>
      </c>
      <c r="J83" s="46">
        <f t="shared" si="19"/>
        <v>5.92</v>
      </c>
      <c r="K83" s="12">
        <f t="shared" si="20"/>
        <v>4.66</v>
      </c>
      <c r="L83" s="12">
        <f t="shared" si="21"/>
        <v>1.26</v>
      </c>
      <c r="M83" s="48">
        <f t="shared" si="22"/>
        <v>6.58</v>
      </c>
      <c r="N83" s="12">
        <f t="shared" si="23"/>
        <v>5.18</v>
      </c>
      <c r="O83" s="12">
        <f t="shared" si="24"/>
        <v>1.4</v>
      </c>
    </row>
    <row r="84" spans="1:15" ht="15">
      <c r="A84" s="3" t="s">
        <v>13</v>
      </c>
      <c r="B84" s="6">
        <v>5674</v>
      </c>
      <c r="C84" s="11">
        <f t="shared" si="25"/>
        <v>1872.42</v>
      </c>
      <c r="D84" s="11"/>
      <c r="E84" s="11">
        <v>15</v>
      </c>
      <c r="F84" s="11">
        <f t="shared" si="26"/>
        <v>851.1</v>
      </c>
      <c r="G84" s="85">
        <v>40</v>
      </c>
      <c r="H84" s="6">
        <f t="shared" si="18"/>
        <v>165</v>
      </c>
      <c r="I84" s="5">
        <v>10</v>
      </c>
      <c r="J84" s="46">
        <f t="shared" si="19"/>
        <v>5.8100000000000005</v>
      </c>
      <c r="K84" s="12">
        <f t="shared" si="20"/>
        <v>4.57</v>
      </c>
      <c r="L84" s="12">
        <f t="shared" si="21"/>
        <v>1.24</v>
      </c>
      <c r="M84" s="48">
        <f t="shared" si="22"/>
        <v>6.47</v>
      </c>
      <c r="N84" s="12">
        <f t="shared" si="23"/>
        <v>5.09</v>
      </c>
      <c r="O84" s="12">
        <f t="shared" si="24"/>
        <v>1.38</v>
      </c>
    </row>
    <row r="85" spans="1:15" ht="15">
      <c r="A85" s="1" t="s">
        <v>14</v>
      </c>
      <c r="B85" s="6">
        <v>5778</v>
      </c>
      <c r="C85" s="11">
        <f t="shared" si="25"/>
        <v>1906.74</v>
      </c>
      <c r="D85" s="11"/>
      <c r="E85" s="11">
        <v>15</v>
      </c>
      <c r="F85" s="11">
        <f t="shared" si="26"/>
        <v>866.7</v>
      </c>
      <c r="G85" s="85">
        <v>40</v>
      </c>
      <c r="H85" s="6">
        <f t="shared" si="18"/>
        <v>165</v>
      </c>
      <c r="I85" s="5">
        <v>10</v>
      </c>
      <c r="J85" s="46">
        <f t="shared" si="19"/>
        <v>5.92</v>
      </c>
      <c r="K85" s="12">
        <f t="shared" si="20"/>
        <v>4.66</v>
      </c>
      <c r="L85" s="12">
        <f t="shared" si="21"/>
        <v>1.26</v>
      </c>
      <c r="M85" s="48">
        <f t="shared" si="22"/>
        <v>6.58</v>
      </c>
      <c r="N85" s="12">
        <f t="shared" si="23"/>
        <v>5.18</v>
      </c>
      <c r="O85" s="12">
        <f t="shared" si="24"/>
        <v>1.4</v>
      </c>
    </row>
    <row r="86" spans="1:15" ht="15">
      <c r="A86" s="1" t="s">
        <v>15</v>
      </c>
      <c r="B86" s="6">
        <v>5673</v>
      </c>
      <c r="C86" s="11">
        <f t="shared" si="25"/>
        <v>1872.09</v>
      </c>
      <c r="D86" s="11"/>
      <c r="E86" s="11">
        <v>15</v>
      </c>
      <c r="F86" s="11">
        <f t="shared" si="26"/>
        <v>850.95</v>
      </c>
      <c r="G86" s="85">
        <v>40</v>
      </c>
      <c r="H86" s="6">
        <f t="shared" si="18"/>
        <v>165</v>
      </c>
      <c r="I86" s="5">
        <v>10</v>
      </c>
      <c r="J86" s="46">
        <f t="shared" si="19"/>
        <v>5.8100000000000005</v>
      </c>
      <c r="K86" s="12">
        <f t="shared" si="20"/>
        <v>4.57</v>
      </c>
      <c r="L86" s="12">
        <f t="shared" si="21"/>
        <v>1.24</v>
      </c>
      <c r="M86" s="48">
        <f t="shared" si="22"/>
        <v>6.47</v>
      </c>
      <c r="N86" s="12">
        <f t="shared" si="23"/>
        <v>5.09</v>
      </c>
      <c r="O86" s="12">
        <f t="shared" si="24"/>
        <v>1.38</v>
      </c>
    </row>
    <row r="87" spans="1:15" ht="16.5" customHeight="1">
      <c r="A87" s="1" t="s">
        <v>15</v>
      </c>
      <c r="B87" s="6">
        <v>5252</v>
      </c>
      <c r="C87" s="11">
        <f t="shared" si="25"/>
        <v>1733.16</v>
      </c>
      <c r="D87" s="11"/>
      <c r="E87" s="11">
        <v>15</v>
      </c>
      <c r="F87" s="11">
        <f t="shared" si="26"/>
        <v>787.8</v>
      </c>
      <c r="G87" s="85">
        <v>40</v>
      </c>
      <c r="H87" s="6">
        <f t="shared" si="18"/>
        <v>165</v>
      </c>
      <c r="I87" s="5">
        <v>10</v>
      </c>
      <c r="J87" s="46">
        <f t="shared" si="19"/>
        <v>5.380000000000001</v>
      </c>
      <c r="K87" s="12">
        <f t="shared" si="20"/>
        <v>4.23</v>
      </c>
      <c r="L87" s="12">
        <f t="shared" si="21"/>
        <v>1.15</v>
      </c>
      <c r="M87" s="48">
        <f t="shared" si="22"/>
        <v>5.99</v>
      </c>
      <c r="N87" s="12">
        <f t="shared" si="23"/>
        <v>4.71</v>
      </c>
      <c r="O87" s="12">
        <f t="shared" si="24"/>
        <v>1.28</v>
      </c>
    </row>
    <row r="88" spans="1:15" ht="15" customHeight="1">
      <c r="A88" s="1" t="s">
        <v>15</v>
      </c>
      <c r="B88" s="6">
        <v>4203</v>
      </c>
      <c r="C88" s="11">
        <f t="shared" si="25"/>
        <v>1386.99</v>
      </c>
      <c r="D88" s="11"/>
      <c r="E88" s="11">
        <v>15</v>
      </c>
      <c r="F88" s="11">
        <f t="shared" si="26"/>
        <v>630.45</v>
      </c>
      <c r="G88" s="85">
        <v>40</v>
      </c>
      <c r="H88" s="6">
        <f t="shared" si="18"/>
        <v>165</v>
      </c>
      <c r="I88" s="5">
        <v>10</v>
      </c>
      <c r="J88" s="46">
        <f t="shared" si="19"/>
        <v>4.3100000000000005</v>
      </c>
      <c r="K88" s="12">
        <f t="shared" si="20"/>
        <v>3.39</v>
      </c>
      <c r="L88" s="12">
        <f t="shared" si="21"/>
        <v>0.92</v>
      </c>
      <c r="M88" s="48">
        <f t="shared" si="22"/>
        <v>4.79</v>
      </c>
      <c r="N88" s="12">
        <f t="shared" si="23"/>
        <v>3.77</v>
      </c>
      <c r="O88" s="12">
        <f t="shared" si="24"/>
        <v>1.02</v>
      </c>
    </row>
    <row r="89" spans="1:15" ht="15">
      <c r="A89" s="43" t="s">
        <v>16</v>
      </c>
      <c r="B89" s="6">
        <v>4203</v>
      </c>
      <c r="C89" s="11">
        <f t="shared" si="25"/>
        <v>1386.99</v>
      </c>
      <c r="D89" s="11"/>
      <c r="E89" s="11">
        <v>15</v>
      </c>
      <c r="F89" s="11">
        <f t="shared" si="26"/>
        <v>630.45</v>
      </c>
      <c r="G89" s="85">
        <v>40</v>
      </c>
      <c r="H89" s="6">
        <f t="shared" si="18"/>
        <v>165</v>
      </c>
      <c r="I89" s="5">
        <v>10</v>
      </c>
      <c r="J89" s="46">
        <f t="shared" si="19"/>
        <v>4.3100000000000005</v>
      </c>
      <c r="K89" s="12">
        <f t="shared" si="20"/>
        <v>3.39</v>
      </c>
      <c r="L89" s="12">
        <f t="shared" si="21"/>
        <v>0.92</v>
      </c>
      <c r="M89" s="48">
        <f t="shared" si="22"/>
        <v>4.79</v>
      </c>
      <c r="N89" s="12">
        <f t="shared" si="23"/>
        <v>3.77</v>
      </c>
      <c r="O89" s="12">
        <f t="shared" si="24"/>
        <v>1.02</v>
      </c>
    </row>
    <row r="90" spans="1:15" ht="15">
      <c r="A90" s="3" t="s">
        <v>17</v>
      </c>
      <c r="B90" s="6">
        <v>4203</v>
      </c>
      <c r="C90" s="11">
        <f t="shared" si="25"/>
        <v>1386.99</v>
      </c>
      <c r="D90" s="11"/>
      <c r="E90" s="11">
        <v>15</v>
      </c>
      <c r="F90" s="11">
        <f t="shared" si="26"/>
        <v>630.45</v>
      </c>
      <c r="G90" s="85">
        <v>40</v>
      </c>
      <c r="H90" s="6">
        <f t="shared" si="18"/>
        <v>165</v>
      </c>
      <c r="I90" s="5">
        <v>10</v>
      </c>
      <c r="J90" s="46">
        <f t="shared" si="19"/>
        <v>4.3100000000000005</v>
      </c>
      <c r="K90" s="12">
        <f t="shared" si="20"/>
        <v>3.39</v>
      </c>
      <c r="L90" s="12">
        <f t="shared" si="21"/>
        <v>0.92</v>
      </c>
      <c r="M90" s="48">
        <f t="shared" si="22"/>
        <v>4.79</v>
      </c>
      <c r="N90" s="12">
        <f t="shared" si="23"/>
        <v>3.77</v>
      </c>
      <c r="O90" s="12">
        <f t="shared" si="24"/>
        <v>1.02</v>
      </c>
    </row>
    <row r="91" spans="1:15" ht="18.75" customHeight="1">
      <c r="A91" s="3" t="s">
        <v>18</v>
      </c>
      <c r="B91" s="6">
        <v>4203</v>
      </c>
      <c r="C91" s="11">
        <f t="shared" si="25"/>
        <v>1386.99</v>
      </c>
      <c r="D91" s="11"/>
      <c r="E91" s="11">
        <v>15</v>
      </c>
      <c r="F91" s="11">
        <f t="shared" si="26"/>
        <v>630.45</v>
      </c>
      <c r="G91" s="85">
        <v>40</v>
      </c>
      <c r="H91" s="6">
        <f t="shared" si="18"/>
        <v>165</v>
      </c>
      <c r="I91" s="5">
        <v>10</v>
      </c>
      <c r="J91" s="46">
        <f t="shared" si="19"/>
        <v>4.3100000000000005</v>
      </c>
      <c r="K91" s="12">
        <f t="shared" si="20"/>
        <v>3.39</v>
      </c>
      <c r="L91" s="12">
        <f t="shared" si="21"/>
        <v>0.92</v>
      </c>
      <c r="M91" s="48">
        <f t="shared" si="22"/>
        <v>4.79</v>
      </c>
      <c r="N91" s="12">
        <f t="shared" si="23"/>
        <v>3.77</v>
      </c>
      <c r="O91" s="12">
        <f t="shared" si="24"/>
        <v>1.02</v>
      </c>
    </row>
    <row r="92" spans="1:15" ht="30" customHeight="1">
      <c r="A92" s="3" t="s">
        <v>19</v>
      </c>
      <c r="B92" s="6">
        <v>4203</v>
      </c>
      <c r="C92" s="11">
        <f t="shared" si="25"/>
        <v>1386.99</v>
      </c>
      <c r="D92" s="11">
        <f>ROUND(B92*4%,2)</f>
        <v>168.12</v>
      </c>
      <c r="E92" s="11">
        <v>15</v>
      </c>
      <c r="F92" s="11">
        <f t="shared" si="26"/>
        <v>630.45</v>
      </c>
      <c r="G92" s="85">
        <v>40</v>
      </c>
      <c r="H92" s="6">
        <f t="shared" si="18"/>
        <v>165</v>
      </c>
      <c r="I92" s="5">
        <v>10</v>
      </c>
      <c r="J92" s="46">
        <f t="shared" si="19"/>
        <v>4.44</v>
      </c>
      <c r="K92" s="12">
        <f t="shared" si="20"/>
        <v>3.49</v>
      </c>
      <c r="L92" s="12">
        <f t="shared" si="21"/>
        <v>0.95</v>
      </c>
      <c r="M92" s="48">
        <f t="shared" si="22"/>
        <v>4.92</v>
      </c>
      <c r="N92" s="12">
        <f t="shared" si="23"/>
        <v>3.87</v>
      </c>
      <c r="O92" s="12">
        <f>ROUND(N92*27.1%,2)</f>
        <v>1.05</v>
      </c>
    </row>
    <row r="93" spans="1:15" ht="30" customHeight="1">
      <c r="A93" s="1" t="s">
        <v>20</v>
      </c>
      <c r="B93" s="6">
        <v>4203</v>
      </c>
      <c r="C93" s="11">
        <f t="shared" si="25"/>
        <v>1386.99</v>
      </c>
      <c r="D93" s="11"/>
      <c r="E93" s="11">
        <v>15</v>
      </c>
      <c r="F93" s="11">
        <f t="shared" si="26"/>
        <v>630.45</v>
      </c>
      <c r="G93" s="85">
        <v>40</v>
      </c>
      <c r="H93" s="6">
        <f t="shared" si="18"/>
        <v>165</v>
      </c>
      <c r="I93" s="5">
        <v>10</v>
      </c>
      <c r="J93" s="46">
        <f t="shared" si="19"/>
        <v>4.3100000000000005</v>
      </c>
      <c r="K93" s="12">
        <f t="shared" si="20"/>
        <v>3.39</v>
      </c>
      <c r="L93" s="12">
        <f t="shared" si="21"/>
        <v>0.92</v>
      </c>
      <c r="M93" s="48">
        <f t="shared" si="22"/>
        <v>4.79</v>
      </c>
      <c r="N93" s="12">
        <f t="shared" si="23"/>
        <v>3.77</v>
      </c>
      <c r="O93" s="12">
        <f t="shared" si="24"/>
        <v>1.02</v>
      </c>
    </row>
    <row r="94" spans="1:15" ht="15">
      <c r="A94" s="3" t="s">
        <v>21</v>
      </c>
      <c r="B94" s="6">
        <v>4203</v>
      </c>
      <c r="C94" s="11">
        <f t="shared" si="25"/>
        <v>1386.99</v>
      </c>
      <c r="D94" s="11">
        <f>ROUND(B94*4%,2)</f>
        <v>168.12</v>
      </c>
      <c r="E94" s="11">
        <v>15</v>
      </c>
      <c r="F94" s="11">
        <f t="shared" si="26"/>
        <v>630.45</v>
      </c>
      <c r="G94" s="85">
        <v>40</v>
      </c>
      <c r="H94" s="6">
        <f t="shared" si="18"/>
        <v>165</v>
      </c>
      <c r="I94" s="5">
        <v>10</v>
      </c>
      <c r="J94" s="46">
        <f t="shared" si="19"/>
        <v>4.44</v>
      </c>
      <c r="K94" s="12">
        <f t="shared" si="20"/>
        <v>3.49</v>
      </c>
      <c r="L94" s="12">
        <f t="shared" si="21"/>
        <v>0.95</v>
      </c>
      <c r="M94" s="48">
        <f t="shared" si="22"/>
        <v>4.92</v>
      </c>
      <c r="N94" s="12">
        <f t="shared" si="23"/>
        <v>3.87</v>
      </c>
      <c r="O94" s="12">
        <f t="shared" si="24"/>
        <v>1.05</v>
      </c>
    </row>
    <row r="95" spans="1:15" ht="15">
      <c r="A95" s="3" t="s">
        <v>22</v>
      </c>
      <c r="B95" s="6">
        <v>4203</v>
      </c>
      <c r="C95" s="11">
        <f t="shared" si="25"/>
        <v>1386.99</v>
      </c>
      <c r="D95" s="11"/>
      <c r="E95" s="11">
        <v>15</v>
      </c>
      <c r="F95" s="11">
        <f t="shared" si="26"/>
        <v>630.45</v>
      </c>
      <c r="G95" s="85">
        <v>40</v>
      </c>
      <c r="H95" s="6">
        <f t="shared" si="18"/>
        <v>165</v>
      </c>
      <c r="I95" s="5">
        <v>10</v>
      </c>
      <c r="J95" s="46">
        <f t="shared" si="19"/>
        <v>4.3100000000000005</v>
      </c>
      <c r="K95" s="12">
        <f t="shared" si="20"/>
        <v>3.39</v>
      </c>
      <c r="L95" s="12">
        <f t="shared" si="21"/>
        <v>0.92</v>
      </c>
      <c r="M95" s="48">
        <f t="shared" si="22"/>
        <v>4.79</v>
      </c>
      <c r="N95" s="12">
        <f t="shared" si="23"/>
        <v>3.77</v>
      </c>
      <c r="O95" s="12">
        <f t="shared" si="24"/>
        <v>1.02</v>
      </c>
    </row>
    <row r="96" spans="1:15" ht="15">
      <c r="A96" s="3" t="s">
        <v>23</v>
      </c>
      <c r="B96" s="6">
        <v>4203</v>
      </c>
      <c r="C96" s="11">
        <f t="shared" si="25"/>
        <v>1386.99</v>
      </c>
      <c r="D96" s="11"/>
      <c r="E96" s="11">
        <v>15</v>
      </c>
      <c r="F96" s="11">
        <f t="shared" si="26"/>
        <v>630.45</v>
      </c>
      <c r="G96" s="85">
        <v>40</v>
      </c>
      <c r="H96" s="6">
        <f t="shared" si="18"/>
        <v>165</v>
      </c>
      <c r="I96" s="5">
        <v>10</v>
      </c>
      <c r="J96" s="46">
        <f t="shared" si="19"/>
        <v>4.3100000000000005</v>
      </c>
      <c r="K96" s="12">
        <f t="shared" si="20"/>
        <v>3.39</v>
      </c>
      <c r="L96" s="12">
        <f t="shared" si="21"/>
        <v>0.92</v>
      </c>
      <c r="M96" s="48">
        <f t="shared" si="22"/>
        <v>4.79</v>
      </c>
      <c r="N96" s="12">
        <f t="shared" si="23"/>
        <v>3.77</v>
      </c>
      <c r="O96" s="12">
        <f t="shared" si="24"/>
        <v>1.02</v>
      </c>
    </row>
  </sheetData>
  <sheetProtection/>
  <mergeCells count="3">
    <mergeCell ref="A2:O2"/>
    <mergeCell ref="A34:O34"/>
    <mergeCell ref="A66:O66"/>
  </mergeCells>
  <printOptions/>
  <pageMargins left="0.8661417322834646" right="0.3937007874015748" top="0.5905511811023623" bottom="0.3937007874015748" header="0.5118110236220472" footer="0.5118110236220472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="80" zoomScaleNormal="80" zoomScalePageLayoutView="0" workbookViewId="0" topLeftCell="A1">
      <selection activeCell="G38" sqref="G38"/>
    </sheetView>
  </sheetViews>
  <sheetFormatPr defaultColWidth="9.140625" defaultRowHeight="15"/>
  <cols>
    <col min="1" max="1" width="22.140625" style="9" customWidth="1"/>
    <col min="2" max="2" width="13.8515625" style="9" customWidth="1"/>
    <col min="3" max="3" width="15.421875" style="9" customWidth="1"/>
    <col min="4" max="4" width="13.140625" style="9" customWidth="1"/>
    <col min="5" max="5" width="12.8515625" style="9" customWidth="1"/>
    <col min="6" max="7" width="11.8515625" style="7" customWidth="1"/>
    <col min="8" max="8" width="10.8515625" style="7" customWidth="1"/>
    <col min="9" max="16384" width="9.140625" style="7" customWidth="1"/>
  </cols>
  <sheetData>
    <row r="2" spans="1:8" ht="15">
      <c r="A2" s="186" t="s">
        <v>57</v>
      </c>
      <c r="B2" s="186"/>
      <c r="C2" s="186"/>
      <c r="D2" s="186"/>
      <c r="E2" s="186"/>
      <c r="F2" s="186"/>
      <c r="G2" s="186"/>
      <c r="H2" s="186"/>
    </row>
    <row r="4" ht="15">
      <c r="A4" s="27" t="s">
        <v>49</v>
      </c>
    </row>
    <row r="6" spans="1:7" s="9" customFormat="1" ht="58.5" customHeight="1">
      <c r="A6" s="8" t="s">
        <v>31</v>
      </c>
      <c r="B6" s="8" t="s">
        <v>32</v>
      </c>
      <c r="C6" s="8" t="s">
        <v>39</v>
      </c>
      <c r="D6" s="8" t="s">
        <v>35</v>
      </c>
      <c r="E6" s="8" t="s">
        <v>48</v>
      </c>
      <c r="F6" s="8" t="s">
        <v>43</v>
      </c>
      <c r="G6" s="10"/>
    </row>
    <row r="7" spans="1:9" ht="30" customHeight="1">
      <c r="A7" s="17" t="s">
        <v>33</v>
      </c>
      <c r="B7" s="19">
        <v>150</v>
      </c>
      <c r="C7" s="19">
        <f>ROUND(365/12*24,0)</f>
        <v>730</v>
      </c>
      <c r="D7" s="19">
        <f>ROUND(B7/C7,3)</f>
        <v>0.205</v>
      </c>
      <c r="E7" s="19">
        <v>7.7</v>
      </c>
      <c r="F7" s="19">
        <f>ROUND(D7*E7,2)</f>
        <v>1.58</v>
      </c>
      <c r="G7" s="26"/>
      <c r="H7" s="20"/>
      <c r="I7" s="20"/>
    </row>
    <row r="8" spans="1:9" ht="15">
      <c r="A8" s="15"/>
      <c r="B8" s="20"/>
      <c r="C8" s="20"/>
      <c r="D8" s="20"/>
      <c r="E8" s="20"/>
      <c r="F8" s="20"/>
      <c r="G8" s="20"/>
      <c r="H8" s="20"/>
      <c r="I8" s="20"/>
    </row>
    <row r="9" spans="1:9" ht="15">
      <c r="A9" s="15"/>
      <c r="B9" s="20"/>
      <c r="C9" s="20"/>
      <c r="D9" s="20"/>
      <c r="E9" s="20"/>
      <c r="F9" s="20"/>
      <c r="G9" s="20"/>
      <c r="H9" s="20"/>
      <c r="I9" s="20"/>
    </row>
    <row r="10" spans="1:9" ht="15">
      <c r="A10" s="16" t="s">
        <v>51</v>
      </c>
      <c r="B10" s="20"/>
      <c r="C10" s="20"/>
      <c r="D10" s="20"/>
      <c r="E10" s="20"/>
      <c r="F10" s="20"/>
      <c r="G10" s="20"/>
      <c r="H10" s="20"/>
      <c r="I10" s="20"/>
    </row>
    <row r="11" spans="1:8" s="9" customFormat="1" ht="96.75" customHeight="1">
      <c r="A11" s="17" t="s">
        <v>34</v>
      </c>
      <c r="B11" s="8" t="s">
        <v>41</v>
      </c>
      <c r="C11" s="8" t="s">
        <v>42</v>
      </c>
      <c r="D11" s="8" t="s">
        <v>40</v>
      </c>
      <c r="E11" s="8" t="s">
        <v>35</v>
      </c>
      <c r="F11" s="8" t="s">
        <v>47</v>
      </c>
      <c r="G11" s="8" t="s">
        <v>44</v>
      </c>
      <c r="H11" s="8" t="s">
        <v>43</v>
      </c>
    </row>
    <row r="12" spans="1:9" ht="15">
      <c r="A12" s="21" t="s">
        <v>36</v>
      </c>
      <c r="B12" s="22">
        <v>75</v>
      </c>
      <c r="C12" s="25">
        <f>ROUND(B12*0.001,3)</f>
        <v>0.075</v>
      </c>
      <c r="D12" s="19">
        <v>12</v>
      </c>
      <c r="E12" s="25">
        <f>ROUND(C12/D12,3)</f>
        <v>0.006</v>
      </c>
      <c r="F12" s="19">
        <v>19.58</v>
      </c>
      <c r="G12" s="19">
        <v>26.17</v>
      </c>
      <c r="H12" s="19">
        <f>ROUND(E12*F12+E12*G12,2)</f>
        <v>0.27</v>
      </c>
      <c r="I12" s="20"/>
    </row>
    <row r="13" spans="1:8" ht="15">
      <c r="A13" s="22" t="s">
        <v>37</v>
      </c>
      <c r="B13" s="22">
        <v>20</v>
      </c>
      <c r="C13" s="25">
        <f>ROUND(B13*0.001,3)</f>
        <v>0.02</v>
      </c>
      <c r="D13" s="19">
        <v>6</v>
      </c>
      <c r="E13" s="25">
        <f>ROUND(C13/D13,3)</f>
        <v>0.003</v>
      </c>
      <c r="F13" s="19">
        <v>19.58</v>
      </c>
      <c r="G13" s="19">
        <v>26.17</v>
      </c>
      <c r="H13" s="19">
        <f aca="true" t="shared" si="0" ref="H13:H22">ROUND(E13*F13+E13*G13,2)</f>
        <v>0.14</v>
      </c>
    </row>
    <row r="14" spans="1:8" ht="19.5" customHeight="1">
      <c r="A14" s="22" t="s">
        <v>38</v>
      </c>
      <c r="B14" s="22">
        <v>20</v>
      </c>
      <c r="C14" s="25">
        <f>ROUND(B14*0.001,3)</f>
        <v>0.02</v>
      </c>
      <c r="D14" s="19">
        <v>6</v>
      </c>
      <c r="E14" s="25">
        <f>ROUND(C14/D14,3)</f>
        <v>0.003</v>
      </c>
      <c r="F14" s="19">
        <v>19.58</v>
      </c>
      <c r="G14" s="19">
        <v>26.17</v>
      </c>
      <c r="H14" s="19">
        <f t="shared" si="0"/>
        <v>0.14</v>
      </c>
    </row>
    <row r="15" spans="1:8" ht="19.5" customHeight="1">
      <c r="A15" s="22" t="s">
        <v>52</v>
      </c>
      <c r="B15" s="22"/>
      <c r="C15" s="25"/>
      <c r="D15" s="19"/>
      <c r="E15" s="25"/>
      <c r="F15" s="19"/>
      <c r="G15" s="19"/>
      <c r="H15" s="19"/>
    </row>
    <row r="16" spans="1:8" ht="19.5" customHeight="1">
      <c r="A16" s="21" t="s">
        <v>36</v>
      </c>
      <c r="B16" s="22"/>
      <c r="C16" s="25"/>
      <c r="D16" s="19"/>
      <c r="E16" s="42">
        <f>ROUND(E12*73%,6)</f>
        <v>0.00438</v>
      </c>
      <c r="F16" s="19">
        <v>19.58</v>
      </c>
      <c r="G16" s="19">
        <v>26.17</v>
      </c>
      <c r="H16" s="19">
        <f t="shared" si="0"/>
        <v>0.2</v>
      </c>
    </row>
    <row r="17" spans="1:8" ht="19.5" customHeight="1">
      <c r="A17" s="22" t="s">
        <v>37</v>
      </c>
      <c r="B17" s="22"/>
      <c r="C17" s="25"/>
      <c r="D17" s="19"/>
      <c r="E17" s="42">
        <f>ROUND(E13*73%,6)</f>
        <v>0.00219</v>
      </c>
      <c r="F17" s="19">
        <v>19.58</v>
      </c>
      <c r="G17" s="19">
        <v>26.17</v>
      </c>
      <c r="H17" s="19">
        <f t="shared" si="0"/>
        <v>0.1</v>
      </c>
    </row>
    <row r="18" spans="1:8" ht="19.5" customHeight="1">
      <c r="A18" s="22" t="s">
        <v>38</v>
      </c>
      <c r="B18" s="22"/>
      <c r="C18" s="25"/>
      <c r="D18" s="19"/>
      <c r="E18" s="42">
        <f>ROUND(E14*73%,6)</f>
        <v>0.00219</v>
      </c>
      <c r="F18" s="19">
        <v>19.58</v>
      </c>
      <c r="G18" s="19">
        <v>26.17</v>
      </c>
      <c r="H18" s="19">
        <f t="shared" si="0"/>
        <v>0.1</v>
      </c>
    </row>
    <row r="19" spans="1:8" ht="19.5" customHeight="1">
      <c r="A19" s="22" t="s">
        <v>53</v>
      </c>
      <c r="B19" s="22"/>
      <c r="C19" s="25"/>
      <c r="D19" s="19"/>
      <c r="E19" s="42"/>
      <c r="F19" s="19"/>
      <c r="G19" s="19"/>
      <c r="H19" s="19"/>
    </row>
    <row r="20" spans="1:8" ht="19.5" customHeight="1">
      <c r="A20" s="21" t="s">
        <v>36</v>
      </c>
      <c r="B20" s="22"/>
      <c r="C20" s="25"/>
      <c r="D20" s="19"/>
      <c r="E20" s="42">
        <f>ROUND(E12*27%,6)</f>
        <v>0.00162</v>
      </c>
      <c r="F20" s="19">
        <v>138.04</v>
      </c>
      <c r="G20" s="19">
        <v>26.17</v>
      </c>
      <c r="H20" s="19">
        <f t="shared" si="0"/>
        <v>0.27</v>
      </c>
    </row>
    <row r="21" spans="1:8" ht="19.5" customHeight="1">
      <c r="A21" s="22" t="s">
        <v>37</v>
      </c>
      <c r="B21" s="22"/>
      <c r="C21" s="25"/>
      <c r="D21" s="19"/>
      <c r="E21" s="42">
        <f>ROUND(E13*27%,6)</f>
        <v>0.00081</v>
      </c>
      <c r="F21" s="19">
        <v>138.04</v>
      </c>
      <c r="G21" s="19">
        <v>26.17</v>
      </c>
      <c r="H21" s="19">
        <f t="shared" si="0"/>
        <v>0.13</v>
      </c>
    </row>
    <row r="22" spans="1:8" ht="19.5" customHeight="1">
      <c r="A22" s="22" t="s">
        <v>38</v>
      </c>
      <c r="B22" s="22"/>
      <c r="C22" s="25"/>
      <c r="D22" s="19"/>
      <c r="E22" s="42">
        <f>ROUND(E14*27%,6)</f>
        <v>0.00081</v>
      </c>
      <c r="F22" s="19">
        <v>138.04</v>
      </c>
      <c r="G22" s="19">
        <v>26.17</v>
      </c>
      <c r="H22" s="19">
        <f t="shared" si="0"/>
        <v>0.13</v>
      </c>
    </row>
    <row r="23" spans="1:8" ht="19.5" customHeight="1">
      <c r="A23" s="32" t="s">
        <v>0</v>
      </c>
      <c r="B23" s="32"/>
      <c r="C23" s="33"/>
      <c r="D23" s="34"/>
      <c r="E23" s="33"/>
      <c r="F23" s="34"/>
      <c r="G23" s="34"/>
      <c r="H23" s="34"/>
    </row>
    <row r="24" spans="1:8" ht="19.5" customHeight="1">
      <c r="A24" s="21" t="s">
        <v>36</v>
      </c>
      <c r="B24" s="22"/>
      <c r="C24" s="25"/>
      <c r="D24" s="19"/>
      <c r="E24" s="25"/>
      <c r="F24" s="19"/>
      <c r="G24" s="19"/>
      <c r="H24" s="19">
        <f>H12+H16</f>
        <v>0.47000000000000003</v>
      </c>
    </row>
    <row r="25" spans="1:8" ht="19.5" customHeight="1">
      <c r="A25" s="22" t="s">
        <v>37</v>
      </c>
      <c r="B25" s="22"/>
      <c r="C25" s="25"/>
      <c r="D25" s="19"/>
      <c r="E25" s="25"/>
      <c r="F25" s="19"/>
      <c r="G25" s="19"/>
      <c r="H25" s="19">
        <f>H13+H17</f>
        <v>0.24000000000000002</v>
      </c>
    </row>
    <row r="26" spans="1:8" ht="15">
      <c r="A26" s="22" t="s">
        <v>38</v>
      </c>
      <c r="B26" s="24"/>
      <c r="C26" s="8"/>
      <c r="D26" s="8"/>
      <c r="E26" s="8"/>
      <c r="F26" s="29"/>
      <c r="G26" s="29"/>
      <c r="H26" s="19">
        <f>H14+H18</f>
        <v>0.24000000000000002</v>
      </c>
    </row>
    <row r="27" spans="1:11" ht="15">
      <c r="A27" s="14"/>
      <c r="H27" s="28"/>
      <c r="I27" s="28"/>
      <c r="J27" s="28"/>
      <c r="K27" s="28"/>
    </row>
    <row r="28" spans="1:11" ht="15">
      <c r="A28" s="14"/>
      <c r="H28" s="28"/>
      <c r="I28" s="28"/>
      <c r="J28" s="28"/>
      <c r="K28" s="28"/>
    </row>
    <row r="29" spans="1:11" s="41" customFormat="1" ht="136.5" customHeight="1">
      <c r="A29" s="38" t="s">
        <v>34</v>
      </c>
      <c r="B29" s="39" t="s">
        <v>45</v>
      </c>
      <c r="C29" s="39" t="s">
        <v>55</v>
      </c>
      <c r="D29" s="39" t="s">
        <v>35</v>
      </c>
      <c r="E29" s="39" t="s">
        <v>47</v>
      </c>
      <c r="F29" s="39" t="s">
        <v>44</v>
      </c>
      <c r="G29" s="39" t="s">
        <v>43</v>
      </c>
      <c r="H29" s="40"/>
      <c r="I29" s="40"/>
      <c r="J29" s="40"/>
      <c r="K29" s="40"/>
    </row>
    <row r="30" spans="1:11" ht="15">
      <c r="A30" s="21" t="s">
        <v>50</v>
      </c>
      <c r="B30" s="31">
        <v>0.005</v>
      </c>
      <c r="C30" s="25">
        <f>ROUND(150*0.001,3)</f>
        <v>0.15</v>
      </c>
      <c r="D30" s="31">
        <f>B30+C30</f>
        <v>0.155</v>
      </c>
      <c r="E30" s="19">
        <v>19.58</v>
      </c>
      <c r="F30" s="19">
        <v>26.17</v>
      </c>
      <c r="G30" s="19">
        <f>ROUND(D30*E30+D30*F30,2)</f>
        <v>7.09</v>
      </c>
      <c r="H30" s="26"/>
      <c r="I30" s="26"/>
      <c r="J30" s="28"/>
      <c r="K30" s="28"/>
    </row>
    <row r="31" spans="1:11" ht="15">
      <c r="A31" s="21" t="s">
        <v>52</v>
      </c>
      <c r="B31" s="23"/>
      <c r="C31" s="25"/>
      <c r="D31" s="31">
        <f>ROUND(D30*73%,3)</f>
        <v>0.113</v>
      </c>
      <c r="E31" s="19">
        <v>19.58</v>
      </c>
      <c r="F31" s="19">
        <v>26.17</v>
      </c>
      <c r="G31" s="19">
        <f>ROUND(D31*E31+D31*F31,2)</f>
        <v>5.17</v>
      </c>
      <c r="H31" s="26"/>
      <c r="I31" s="26"/>
      <c r="J31" s="28"/>
      <c r="K31" s="28"/>
    </row>
    <row r="32" spans="1:7" ht="16.5" customHeight="1">
      <c r="A32" s="30" t="s">
        <v>53</v>
      </c>
      <c r="B32" s="8"/>
      <c r="C32" s="8"/>
      <c r="D32" s="24">
        <f>ROUND(D30*27%,3)</f>
        <v>0.042</v>
      </c>
      <c r="E32" s="18">
        <v>138.04</v>
      </c>
      <c r="F32" s="19">
        <v>26.17</v>
      </c>
      <c r="G32" s="19">
        <f>ROUND(D32*E32+D32*F32,2)</f>
        <v>6.9</v>
      </c>
    </row>
    <row r="33" spans="1:7" ht="16.5" customHeight="1">
      <c r="A33" s="35" t="s">
        <v>0</v>
      </c>
      <c r="B33" s="36"/>
      <c r="C33" s="36"/>
      <c r="D33" s="37"/>
      <c r="E33" s="36"/>
      <c r="F33" s="34"/>
      <c r="G33" s="34">
        <f>SUM(G30:G32)</f>
        <v>19.16</v>
      </c>
    </row>
    <row r="34" spans="1:8" ht="15" customHeight="1">
      <c r="A34" s="185" t="s">
        <v>46</v>
      </c>
      <c r="B34" s="185"/>
      <c r="C34" s="185"/>
      <c r="D34" s="185"/>
      <c r="E34" s="185"/>
      <c r="F34" s="185"/>
      <c r="G34" s="185"/>
      <c r="H34" s="185"/>
    </row>
    <row r="35" ht="15">
      <c r="A35" s="14"/>
    </row>
    <row r="36" spans="1:7" ht="15">
      <c r="A36" s="185" t="s">
        <v>54</v>
      </c>
      <c r="B36" s="185"/>
      <c r="C36" s="185"/>
      <c r="D36" s="185"/>
      <c r="E36" s="185"/>
      <c r="F36" s="185"/>
      <c r="G36" s="185"/>
    </row>
    <row r="37" ht="18.75" customHeight="1">
      <c r="A37" s="14"/>
    </row>
    <row r="38" ht="30" customHeight="1">
      <c r="A38" s="14"/>
    </row>
    <row r="39" ht="30" customHeight="1">
      <c r="A39" s="14"/>
    </row>
    <row r="40" ht="15">
      <c r="A40" s="14"/>
    </row>
    <row r="41" ht="15">
      <c r="A41" s="14"/>
    </row>
    <row r="42" ht="15">
      <c r="A42" s="14"/>
    </row>
  </sheetData>
  <sheetProtection/>
  <mergeCells count="3">
    <mergeCell ref="A34:H34"/>
    <mergeCell ref="A36:G36"/>
    <mergeCell ref="A2:H2"/>
  </mergeCells>
  <printOptions/>
  <pageMargins left="0.8661417322834646" right="0.3937007874015748" top="0.5905511811023623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4"/>
  <sheetViews>
    <sheetView zoomScalePageLayoutView="0" workbookViewId="0" topLeftCell="A7">
      <selection activeCell="D43" sqref="D43"/>
    </sheetView>
  </sheetViews>
  <sheetFormatPr defaultColWidth="9.140625" defaultRowHeight="15"/>
  <cols>
    <col min="1" max="1" width="13.140625" style="53" customWidth="1"/>
    <col min="2" max="2" width="10.421875" style="53" customWidth="1"/>
    <col min="3" max="3" width="7.57421875" style="53" customWidth="1"/>
    <col min="4" max="4" width="7.2812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10.140625" style="53" customWidth="1"/>
    <col min="11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131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.75" customHeight="1">
      <c r="A10" s="100"/>
      <c r="B10" s="181" t="s">
        <v>180</v>
      </c>
      <c r="C10" s="181"/>
      <c r="D10" s="181"/>
      <c r="E10" s="181"/>
      <c r="F10" s="181"/>
      <c r="G10" s="181"/>
      <c r="H10" s="181"/>
      <c r="I10" s="181"/>
      <c r="J10" s="100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40.5" customHeight="1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22.5" customHeight="1">
      <c r="A13" s="61">
        <v>36</v>
      </c>
      <c r="B13" s="61">
        <v>9</v>
      </c>
      <c r="C13" s="61">
        <v>2</v>
      </c>
      <c r="D13" s="61">
        <f>A13/B13*C13</f>
        <v>8</v>
      </c>
      <c r="E13" s="61">
        <f>A13*C13</f>
        <v>72</v>
      </c>
      <c r="F13" s="71"/>
      <c r="G13" s="54"/>
      <c r="H13" s="54"/>
      <c r="I13" s="54"/>
    </row>
    <row r="14" spans="1:9" ht="20.25" customHeight="1">
      <c r="A14" s="49"/>
      <c r="B14" s="49"/>
      <c r="C14" s="49"/>
      <c r="D14" s="49"/>
      <c r="E14" s="56"/>
      <c r="F14" s="56"/>
      <c r="G14" s="54"/>
      <c r="H14" s="54"/>
      <c r="I14" s="54"/>
    </row>
    <row r="15" spans="1:10" ht="51.75" customHeight="1">
      <c r="A15" s="58" t="s">
        <v>71</v>
      </c>
      <c r="B15" s="58" t="s">
        <v>63</v>
      </c>
      <c r="C15" s="58" t="s">
        <v>24</v>
      </c>
      <c r="D15" s="58" t="s">
        <v>114</v>
      </c>
      <c r="E15" s="58" t="s">
        <v>115</v>
      </c>
      <c r="F15" s="58" t="s">
        <v>116</v>
      </c>
      <c r="G15" s="58" t="s">
        <v>117</v>
      </c>
      <c r="H15" s="58" t="s">
        <v>109</v>
      </c>
      <c r="I15" s="58" t="s">
        <v>123</v>
      </c>
      <c r="J15" s="58" t="s">
        <v>120</v>
      </c>
    </row>
    <row r="16" spans="1:10" ht="31.5" customHeight="1">
      <c r="A16" s="50" t="s">
        <v>68</v>
      </c>
      <c r="B16" s="50" t="s">
        <v>130</v>
      </c>
      <c r="C16" s="51">
        <v>220</v>
      </c>
      <c r="D16" s="77">
        <v>72</v>
      </c>
      <c r="E16" s="77">
        <v>30</v>
      </c>
      <c r="F16" s="52">
        <v>50</v>
      </c>
      <c r="G16" s="51">
        <f>ROUND(C16*D16+C16*D16*E16%+(C16*D16+C16*D16*E16%)*F16%,2)</f>
        <v>30888</v>
      </c>
      <c r="H16" s="77">
        <v>9</v>
      </c>
      <c r="I16" s="77">
        <v>30</v>
      </c>
      <c r="J16" s="51">
        <f>ROUND(G16/H16/I16,2)</f>
        <v>114.4</v>
      </c>
    </row>
    <row r="17" spans="1:10" ht="31.5" customHeight="1">
      <c r="A17" s="50" t="s">
        <v>65</v>
      </c>
      <c r="B17" s="50" t="s">
        <v>66</v>
      </c>
      <c r="C17" s="51">
        <f>C18+C19+C20</f>
        <v>52.06</v>
      </c>
      <c r="D17" s="77"/>
      <c r="E17" s="77">
        <v>30</v>
      </c>
      <c r="F17" s="52">
        <v>50</v>
      </c>
      <c r="G17" s="51">
        <f>ROUND(C17*D17+C17*D17*E17%+C17*D17*F17%,2)</f>
        <v>0</v>
      </c>
      <c r="H17" s="77">
        <v>9</v>
      </c>
      <c r="I17" s="77">
        <v>30</v>
      </c>
      <c r="J17" s="51">
        <f aca="true" t="shared" si="0" ref="J17:J24">ROUND(G17/H17/I17,2)</f>
        <v>0</v>
      </c>
    </row>
    <row r="18" spans="1:10" ht="37.5" customHeight="1">
      <c r="A18" s="50"/>
      <c r="B18" s="50" t="s">
        <v>7</v>
      </c>
      <c r="C18" s="51">
        <v>46.14</v>
      </c>
      <c r="D18" s="77">
        <v>72</v>
      </c>
      <c r="E18" s="77">
        <v>30</v>
      </c>
      <c r="F18" s="52">
        <v>50</v>
      </c>
      <c r="G18" s="51">
        <f>ROUND(C18*D18+C18*D18*E18%+C18*D18*F18%,2)</f>
        <v>5979.74</v>
      </c>
      <c r="H18" s="77">
        <v>9</v>
      </c>
      <c r="I18" s="77">
        <v>30</v>
      </c>
      <c r="J18" s="51">
        <f t="shared" si="0"/>
        <v>22.15</v>
      </c>
    </row>
    <row r="19" spans="1:10" ht="40.5" customHeight="1">
      <c r="A19" s="50"/>
      <c r="B19" s="50" t="s">
        <v>118</v>
      </c>
      <c r="C19" s="51">
        <v>5.92</v>
      </c>
      <c r="D19" s="77"/>
      <c r="E19" s="77">
        <v>30</v>
      </c>
      <c r="F19" s="52">
        <v>50</v>
      </c>
      <c r="G19" s="51">
        <f>ROUND(C19*D19+C19*D19*E19%+C19*D19*F19%,2)</f>
        <v>0</v>
      </c>
      <c r="H19" s="77">
        <v>9</v>
      </c>
      <c r="I19" s="77">
        <v>30</v>
      </c>
      <c r="J19" s="51">
        <f t="shared" si="0"/>
        <v>0</v>
      </c>
    </row>
    <row r="20" spans="1:10" ht="16.5" customHeight="1">
      <c r="A20" s="50"/>
      <c r="B20" s="50"/>
      <c r="C20" s="51"/>
      <c r="D20" s="77"/>
      <c r="E20" s="77">
        <v>30</v>
      </c>
      <c r="F20" s="52"/>
      <c r="G20" s="51"/>
      <c r="H20" s="77">
        <v>9</v>
      </c>
      <c r="I20" s="77">
        <v>30</v>
      </c>
      <c r="J20" s="51"/>
    </row>
    <row r="21" spans="1:10" ht="21" customHeight="1">
      <c r="A21" s="50" t="s">
        <v>1</v>
      </c>
      <c r="B21" s="50"/>
      <c r="C21" s="51">
        <v>21.84</v>
      </c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30</v>
      </c>
      <c r="J21" s="51">
        <f>ROUND(G21/H21/I21,2)</f>
        <v>0</v>
      </c>
    </row>
    <row r="22" spans="1:10" ht="23.25" customHeight="1">
      <c r="A22" s="50" t="s">
        <v>2</v>
      </c>
      <c r="B22" s="50"/>
      <c r="C22" s="69">
        <f>C23+C24</f>
        <v>2.05</v>
      </c>
      <c r="D22" s="77"/>
      <c r="E22" s="77">
        <v>30</v>
      </c>
      <c r="F22" s="52">
        <v>50</v>
      </c>
      <c r="G22" s="99">
        <f>G23+G24</f>
        <v>0</v>
      </c>
      <c r="H22" s="77">
        <v>9</v>
      </c>
      <c r="I22" s="77">
        <v>30</v>
      </c>
      <c r="J22" s="99">
        <f>J23+J24</f>
        <v>0</v>
      </c>
    </row>
    <row r="23" spans="1:10" ht="23.25" customHeight="1">
      <c r="A23" s="50"/>
      <c r="B23" s="50" t="s">
        <v>91</v>
      </c>
      <c r="C23" s="69">
        <v>1.58</v>
      </c>
      <c r="D23" s="77"/>
      <c r="E23" s="77">
        <v>30</v>
      </c>
      <c r="F23" s="52">
        <v>50</v>
      </c>
      <c r="G23" s="51">
        <f>ROUND(C23*D23+C23*D23*E23%+C23*D23*F23%,2)</f>
        <v>0</v>
      </c>
      <c r="H23" s="77">
        <v>9</v>
      </c>
      <c r="I23" s="77">
        <v>30</v>
      </c>
      <c r="J23" s="51">
        <f t="shared" si="0"/>
        <v>0</v>
      </c>
    </row>
    <row r="24" spans="1:10" ht="21" customHeight="1">
      <c r="A24" s="50"/>
      <c r="B24" s="50" t="s">
        <v>92</v>
      </c>
      <c r="C24" s="69">
        <v>0.47</v>
      </c>
      <c r="D24" s="77"/>
      <c r="E24" s="77">
        <v>30</v>
      </c>
      <c r="F24" s="52">
        <v>50</v>
      </c>
      <c r="G24" s="51">
        <f>ROUND(C24*D24+C24*D24*E24%+C24*D24*F24%,2)</f>
        <v>0</v>
      </c>
      <c r="H24" s="77">
        <v>9</v>
      </c>
      <c r="I24" s="77">
        <v>30</v>
      </c>
      <c r="J24" s="51">
        <f t="shared" si="0"/>
        <v>0</v>
      </c>
    </row>
    <row r="25" spans="1:10" s="93" customFormat="1" ht="18" customHeight="1">
      <c r="A25" s="59" t="s">
        <v>0</v>
      </c>
      <c r="B25" s="59"/>
      <c r="C25" s="90"/>
      <c r="D25" s="91"/>
      <c r="E25" s="91"/>
      <c r="F25" s="92"/>
      <c r="G25" s="90">
        <f>G16+G17+G21+G22</f>
        <v>30888</v>
      </c>
      <c r="H25" s="90"/>
      <c r="I25" s="77">
        <v>30</v>
      </c>
      <c r="J25" s="90">
        <f>J16+J17+J21+J22</f>
        <v>114.4</v>
      </c>
    </row>
    <row r="26" spans="1:10" ht="12.75" customHeight="1">
      <c r="A26" s="50" t="s">
        <v>121</v>
      </c>
      <c r="B26" s="50"/>
      <c r="C26" s="52"/>
      <c r="D26" s="77"/>
      <c r="E26" s="77"/>
      <c r="F26" s="52"/>
      <c r="G26" s="51"/>
      <c r="H26" s="52"/>
      <c r="I26" s="52"/>
      <c r="J26" s="51">
        <f>ROUND(J27/J25,2)</f>
        <v>2.62</v>
      </c>
    </row>
    <row r="27" spans="1:10" s="93" customFormat="1" ht="16.5" customHeight="1">
      <c r="A27" s="94" t="s">
        <v>122</v>
      </c>
      <c r="B27" s="94"/>
      <c r="C27" s="95"/>
      <c r="D27" s="96"/>
      <c r="E27" s="96"/>
      <c r="F27" s="95"/>
      <c r="G27" s="97"/>
      <c r="H27" s="95"/>
      <c r="I27" s="95"/>
      <c r="J27" s="97">
        <v>300</v>
      </c>
    </row>
    <row r="28" spans="1:10" s="93" customFormat="1" ht="12.75" customHeight="1">
      <c r="A28" s="101"/>
      <c r="B28" s="101"/>
      <c r="C28" s="102"/>
      <c r="D28" s="103"/>
      <c r="E28" s="103"/>
      <c r="F28" s="102"/>
      <c r="G28" s="104"/>
      <c r="H28" s="102"/>
      <c r="I28" s="102"/>
      <c r="J28" s="104"/>
    </row>
    <row r="29" spans="1:10" s="93" customFormat="1" ht="12.75" customHeight="1">
      <c r="A29" s="101"/>
      <c r="B29" s="101"/>
      <c r="C29" s="102"/>
      <c r="D29" s="103"/>
      <c r="E29" s="103"/>
      <c r="F29" s="102"/>
      <c r="G29" s="104"/>
      <c r="H29" s="102"/>
      <c r="I29" s="102"/>
      <c r="J29" s="104"/>
    </row>
    <row r="30" spans="1:10" s="93" customFormat="1" ht="12.75" customHeight="1">
      <c r="A30" s="101"/>
      <c r="B30" s="101"/>
      <c r="C30" s="102"/>
      <c r="D30" s="103"/>
      <c r="E30" s="103"/>
      <c r="F30" s="102"/>
      <c r="G30" s="104"/>
      <c r="H30" s="102"/>
      <c r="I30" s="102"/>
      <c r="J30" s="104"/>
    </row>
    <row r="31" spans="1:10" s="93" customFormat="1" ht="12.75" customHeight="1">
      <c r="A31" s="105" t="s">
        <v>132</v>
      </c>
      <c r="B31" s="105"/>
      <c r="C31" s="105"/>
      <c r="D31" s="105"/>
      <c r="E31" s="105"/>
      <c r="F31" s="105"/>
      <c r="G31" s="106"/>
      <c r="H31" s="102"/>
      <c r="I31" s="102"/>
      <c r="J31" s="104"/>
    </row>
    <row r="32" spans="1:10" s="93" customFormat="1" ht="12.75" customHeight="1">
      <c r="A32" s="101"/>
      <c r="B32" s="101"/>
      <c r="C32" s="102"/>
      <c r="D32" s="103"/>
      <c r="E32" s="103"/>
      <c r="F32" s="102"/>
      <c r="G32" s="104"/>
      <c r="H32" s="102"/>
      <c r="I32" s="102"/>
      <c r="J32" s="104"/>
    </row>
    <row r="33" spans="7:10" ht="27.75" customHeight="1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23.25" customHeight="1">
      <c r="A35" s="50" t="s">
        <v>130</v>
      </c>
      <c r="B35" s="89">
        <f>J27</f>
        <v>300</v>
      </c>
      <c r="C35" s="61">
        <v>35</v>
      </c>
      <c r="D35" s="61">
        <v>9</v>
      </c>
      <c r="E35" s="61">
        <v>30</v>
      </c>
      <c r="F35" s="86">
        <f>ROUND(B35*C35/100*D35*E35/1000,1)</f>
        <v>28.4</v>
      </c>
      <c r="G35" s="86">
        <f>ROUND(F35*27.1%,1)</f>
        <v>7.7</v>
      </c>
      <c r="H35" s="86">
        <f>F35+G35</f>
        <v>36.1</v>
      </c>
      <c r="I35" s="53" t="s">
        <v>141</v>
      </c>
      <c r="J35" s="98"/>
    </row>
    <row r="36" spans="1:10" ht="12.75" customHeight="1">
      <c r="A36" s="50" t="s">
        <v>7</v>
      </c>
      <c r="B36" s="89">
        <f>J27</f>
        <v>300</v>
      </c>
      <c r="C36" s="113">
        <v>4</v>
      </c>
      <c r="D36" s="61">
        <v>9</v>
      </c>
      <c r="E36" s="61">
        <v>30</v>
      </c>
      <c r="F36" s="86">
        <f>ROUND(B36*C36/100*D36*E36/1000,1)</f>
        <v>3.2</v>
      </c>
      <c r="G36" s="86">
        <f>ROUND(F36*27.1%,1)</f>
        <v>0.9</v>
      </c>
      <c r="H36" s="86">
        <f>F36+G36</f>
        <v>4.1000000000000005</v>
      </c>
      <c r="I36" s="53">
        <f>F36/D36*1000</f>
        <v>355.55555555555554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9"/>
      <c r="B38" s="109"/>
      <c r="C38" s="109"/>
      <c r="D38" s="109"/>
      <c r="E38" s="110"/>
      <c r="F38" s="110">
        <f>SUM(F35:F37)</f>
        <v>31.599999999999998</v>
      </c>
      <c r="G38" s="110">
        <f>SUM(G35:G37)</f>
        <v>8.6</v>
      </c>
      <c r="H38" s="110">
        <f>SUM(H35:H37)</f>
        <v>40.2</v>
      </c>
    </row>
    <row r="39" spans="1:6" ht="22.5" customHeight="1">
      <c r="A39" s="55"/>
      <c r="B39" s="55"/>
      <c r="E39" s="57"/>
      <c r="F39" s="64"/>
    </row>
    <row r="40" spans="1:6" ht="25.5" customHeight="1">
      <c r="A40" s="180" t="s">
        <v>87</v>
      </c>
      <c r="B40" s="180"/>
      <c r="C40" s="180"/>
      <c r="D40" s="82"/>
      <c r="E40" s="82"/>
      <c r="F40" s="64"/>
    </row>
    <row r="41" spans="1:6" ht="12.75">
      <c r="A41" s="49"/>
      <c r="B41" s="49"/>
      <c r="C41" s="49"/>
      <c r="D41" s="56"/>
      <c r="E41" s="56"/>
      <c r="F41" s="64"/>
    </row>
    <row r="42" spans="1:6" ht="38.25">
      <c r="A42" s="58" t="s">
        <v>73</v>
      </c>
      <c r="B42" s="58" t="s">
        <v>72</v>
      </c>
      <c r="C42" s="58" t="s">
        <v>107</v>
      </c>
      <c r="D42" s="58" t="s">
        <v>108</v>
      </c>
      <c r="E42" s="70"/>
      <c r="F42" s="64"/>
    </row>
    <row r="43" spans="1:6" ht="12.75">
      <c r="A43" s="51">
        <f>J27</f>
        <v>300</v>
      </c>
      <c r="B43" s="52">
        <v>30</v>
      </c>
      <c r="C43" s="52">
        <v>9</v>
      </c>
      <c r="D43" s="52">
        <f>ROUND(A43*B43*C43/1000,1)</f>
        <v>81</v>
      </c>
      <c r="E43" s="54"/>
      <c r="F43" s="64"/>
    </row>
    <row r="44" spans="1:6" ht="12.75">
      <c r="A44" s="55"/>
      <c r="B44" s="55"/>
      <c r="D44" s="54"/>
      <c r="E44" s="80"/>
      <c r="F44" s="64"/>
    </row>
  </sheetData>
  <sheetProtection/>
  <mergeCells count="6">
    <mergeCell ref="A40:C40"/>
    <mergeCell ref="A5:J5"/>
    <mergeCell ref="A6:J6"/>
    <mergeCell ref="A7:J7"/>
    <mergeCell ref="A8:J8"/>
    <mergeCell ref="B10:I10"/>
  </mergeCells>
  <printOptions/>
  <pageMargins left="0.7" right="0.7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9">
      <selection activeCell="D44" sqref="D44"/>
    </sheetView>
  </sheetViews>
  <sheetFormatPr defaultColWidth="9.140625" defaultRowHeight="15"/>
  <cols>
    <col min="1" max="1" width="13.140625" style="53" customWidth="1"/>
    <col min="2" max="2" width="10.421875" style="53" customWidth="1"/>
    <col min="3" max="3" width="7.57421875" style="53" customWidth="1"/>
    <col min="4" max="4" width="7.2812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10.140625" style="53" customWidth="1"/>
    <col min="11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131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.75" customHeight="1">
      <c r="A10" s="114"/>
      <c r="B10" s="181" t="s">
        <v>181</v>
      </c>
      <c r="C10" s="181"/>
      <c r="D10" s="181"/>
      <c r="E10" s="181"/>
      <c r="F10" s="181"/>
      <c r="G10" s="181"/>
      <c r="H10" s="181"/>
      <c r="I10" s="114"/>
      <c r="J10" s="114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40.5" customHeight="1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22.5" customHeight="1">
      <c r="A13" s="61">
        <v>36</v>
      </c>
      <c r="B13" s="61">
        <v>9</v>
      </c>
      <c r="C13" s="61">
        <v>5</v>
      </c>
      <c r="D13" s="61">
        <f>A13/B13*C13</f>
        <v>20</v>
      </c>
      <c r="E13" s="61">
        <f>A13*C13</f>
        <v>180</v>
      </c>
      <c r="F13" s="71"/>
      <c r="G13" s="54"/>
      <c r="H13" s="54"/>
      <c r="I13" s="54"/>
    </row>
    <row r="14" spans="1:9" ht="20.25" customHeight="1">
      <c r="A14" s="49"/>
      <c r="B14" s="49"/>
      <c r="C14" s="49"/>
      <c r="D14" s="49"/>
      <c r="E14" s="56"/>
      <c r="F14" s="56"/>
      <c r="G14" s="54"/>
      <c r="H14" s="54"/>
      <c r="I14" s="54"/>
    </row>
    <row r="15" spans="1:10" ht="51.75" customHeight="1">
      <c r="A15" s="58" t="s">
        <v>71</v>
      </c>
      <c r="B15" s="58" t="s">
        <v>63</v>
      </c>
      <c r="C15" s="58" t="s">
        <v>24</v>
      </c>
      <c r="D15" s="58" t="s">
        <v>114</v>
      </c>
      <c r="E15" s="58" t="s">
        <v>115</v>
      </c>
      <c r="F15" s="58" t="s">
        <v>116</v>
      </c>
      <c r="G15" s="58" t="s">
        <v>117</v>
      </c>
      <c r="H15" s="58" t="s">
        <v>109</v>
      </c>
      <c r="I15" s="58" t="s">
        <v>123</v>
      </c>
      <c r="J15" s="58" t="s">
        <v>120</v>
      </c>
    </row>
    <row r="16" spans="1:10" ht="31.5" customHeight="1">
      <c r="A16" s="50" t="s">
        <v>68</v>
      </c>
      <c r="B16" s="50" t="s">
        <v>130</v>
      </c>
      <c r="C16" s="51">
        <v>220</v>
      </c>
      <c r="D16" s="77">
        <v>180</v>
      </c>
      <c r="E16" s="77">
        <v>30</v>
      </c>
      <c r="F16" s="52">
        <v>50</v>
      </c>
      <c r="G16" s="51">
        <f>ROUND(C16*D16+C16*D16*E16%+(C16*D16+C16*D16*E16%)*F16%,2)</f>
        <v>77220</v>
      </c>
      <c r="H16" s="77">
        <v>9</v>
      </c>
      <c r="I16" s="77">
        <v>35</v>
      </c>
      <c r="J16" s="51">
        <f>ROUND(G16/H16/I16,2)</f>
        <v>245.14</v>
      </c>
    </row>
    <row r="17" spans="1:10" ht="31.5" customHeight="1">
      <c r="A17" s="50" t="s">
        <v>65</v>
      </c>
      <c r="B17" s="50" t="s">
        <v>66</v>
      </c>
      <c r="C17" s="51">
        <f>C18+C19+C20</f>
        <v>52.06</v>
      </c>
      <c r="D17" s="77"/>
      <c r="E17" s="77">
        <v>30</v>
      </c>
      <c r="F17" s="52">
        <v>50</v>
      </c>
      <c r="G17" s="51">
        <f>ROUND(C17*D17+C17*D17*E17%+C17*D17*F17%,2)</f>
        <v>0</v>
      </c>
      <c r="H17" s="77">
        <v>9</v>
      </c>
      <c r="I17" s="77">
        <v>35</v>
      </c>
      <c r="J17" s="51">
        <f aca="true" t="shared" si="0" ref="J17:J24">ROUND(G17/H17/I17,2)</f>
        <v>0</v>
      </c>
    </row>
    <row r="18" spans="1:10" ht="37.5" customHeight="1">
      <c r="A18" s="50"/>
      <c r="B18" s="50" t="s">
        <v>7</v>
      </c>
      <c r="C18" s="51">
        <v>46.14</v>
      </c>
      <c r="D18" s="77">
        <v>180</v>
      </c>
      <c r="E18" s="77">
        <v>30</v>
      </c>
      <c r="F18" s="52">
        <v>50</v>
      </c>
      <c r="G18" s="51">
        <f>ROUND(C18*D18+C18*D18*E18%+C18*D18*F18%,2)</f>
        <v>14949.36</v>
      </c>
      <c r="H18" s="77">
        <v>9</v>
      </c>
      <c r="I18" s="77">
        <v>35</v>
      </c>
      <c r="J18" s="51">
        <f t="shared" si="0"/>
        <v>47.46</v>
      </c>
    </row>
    <row r="19" spans="1:10" ht="40.5" customHeight="1">
      <c r="A19" s="50"/>
      <c r="B19" s="50" t="s">
        <v>118</v>
      </c>
      <c r="C19" s="51">
        <v>5.92</v>
      </c>
      <c r="D19" s="77"/>
      <c r="E19" s="77">
        <v>30</v>
      </c>
      <c r="F19" s="52">
        <v>50</v>
      </c>
      <c r="G19" s="51">
        <f>ROUND(C19*D19+C19*D19*E19%+C19*D19*F19%,2)</f>
        <v>0</v>
      </c>
      <c r="H19" s="77">
        <v>9</v>
      </c>
      <c r="I19" s="77">
        <v>35</v>
      </c>
      <c r="J19" s="51">
        <f t="shared" si="0"/>
        <v>0</v>
      </c>
    </row>
    <row r="20" spans="1:10" ht="16.5" customHeight="1">
      <c r="A20" s="50"/>
      <c r="B20" s="50"/>
      <c r="C20" s="51"/>
      <c r="D20" s="77"/>
      <c r="E20" s="77">
        <v>30</v>
      </c>
      <c r="F20" s="52"/>
      <c r="G20" s="51"/>
      <c r="H20" s="77">
        <v>9</v>
      </c>
      <c r="I20" s="77">
        <v>35</v>
      </c>
      <c r="J20" s="51"/>
    </row>
    <row r="21" spans="1:10" ht="21" customHeight="1">
      <c r="A21" s="50" t="s">
        <v>1</v>
      </c>
      <c r="B21" s="50"/>
      <c r="C21" s="51">
        <v>21.84</v>
      </c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35</v>
      </c>
      <c r="J21" s="51">
        <f>ROUND(G21/H21/I21,2)</f>
        <v>0</v>
      </c>
    </row>
    <row r="22" spans="1:10" ht="23.25" customHeight="1">
      <c r="A22" s="50" t="s">
        <v>2</v>
      </c>
      <c r="B22" s="50"/>
      <c r="C22" s="69">
        <f>C23+C24</f>
        <v>2.05</v>
      </c>
      <c r="D22" s="77"/>
      <c r="E22" s="77">
        <v>30</v>
      </c>
      <c r="F22" s="52">
        <v>50</v>
      </c>
      <c r="G22" s="99">
        <f>G23+G24</f>
        <v>0</v>
      </c>
      <c r="H22" s="77">
        <v>9</v>
      </c>
      <c r="I22" s="77">
        <v>35</v>
      </c>
      <c r="J22" s="99">
        <f>J23+J24</f>
        <v>0</v>
      </c>
    </row>
    <row r="23" spans="1:10" ht="23.25" customHeight="1">
      <c r="A23" s="50"/>
      <c r="B23" s="50" t="s">
        <v>91</v>
      </c>
      <c r="C23" s="69">
        <v>1.58</v>
      </c>
      <c r="D23" s="77"/>
      <c r="E23" s="77">
        <v>30</v>
      </c>
      <c r="F23" s="52">
        <v>50</v>
      </c>
      <c r="G23" s="51">
        <f>ROUND(C23*D23+C23*D23*E23%+C23*D23*F23%,2)</f>
        <v>0</v>
      </c>
      <c r="H23" s="77">
        <v>9</v>
      </c>
      <c r="I23" s="77">
        <v>35</v>
      </c>
      <c r="J23" s="51">
        <f t="shared" si="0"/>
        <v>0</v>
      </c>
    </row>
    <row r="24" spans="1:10" ht="21" customHeight="1">
      <c r="A24" s="50"/>
      <c r="B24" s="50" t="s">
        <v>92</v>
      </c>
      <c r="C24" s="69">
        <v>0.47</v>
      </c>
      <c r="D24" s="77"/>
      <c r="E24" s="77">
        <v>30</v>
      </c>
      <c r="F24" s="52">
        <v>50</v>
      </c>
      <c r="G24" s="51">
        <f>ROUND(C24*D24+C24*D24*E24%+C24*D24*F24%,2)</f>
        <v>0</v>
      </c>
      <c r="H24" s="77">
        <v>9</v>
      </c>
      <c r="I24" s="77">
        <v>35</v>
      </c>
      <c r="J24" s="51">
        <f t="shared" si="0"/>
        <v>0</v>
      </c>
    </row>
    <row r="25" spans="1:10" s="93" customFormat="1" ht="18" customHeight="1">
      <c r="A25" s="59" t="s">
        <v>0</v>
      </c>
      <c r="B25" s="59"/>
      <c r="C25" s="90"/>
      <c r="D25" s="91"/>
      <c r="E25" s="91"/>
      <c r="F25" s="92"/>
      <c r="G25" s="90">
        <f>G16+G17+G21+G22</f>
        <v>77220</v>
      </c>
      <c r="H25" s="90"/>
      <c r="I25" s="77"/>
      <c r="J25" s="90">
        <f>J16+J17+J21+J22</f>
        <v>245.14</v>
      </c>
    </row>
    <row r="26" spans="1:10" ht="12.75" customHeight="1">
      <c r="A26" s="50" t="s">
        <v>121</v>
      </c>
      <c r="B26" s="50"/>
      <c r="C26" s="52"/>
      <c r="D26" s="77"/>
      <c r="E26" s="77"/>
      <c r="F26" s="52"/>
      <c r="G26" s="51"/>
      <c r="H26" s="52"/>
      <c r="I26" s="52"/>
      <c r="J26" s="51">
        <f>ROUND(J27/J25,2)</f>
        <v>8.16</v>
      </c>
    </row>
    <row r="27" spans="1:10" s="93" customFormat="1" ht="16.5" customHeight="1">
      <c r="A27" s="94" t="s">
        <v>122</v>
      </c>
      <c r="B27" s="94"/>
      <c r="C27" s="95"/>
      <c r="D27" s="96"/>
      <c r="E27" s="96"/>
      <c r="F27" s="95"/>
      <c r="G27" s="97"/>
      <c r="H27" s="95"/>
      <c r="I27" s="95"/>
      <c r="J27" s="97">
        <v>2000</v>
      </c>
    </row>
    <row r="28" spans="1:10" s="93" customFormat="1" ht="12.75" customHeight="1">
      <c r="A28" s="101"/>
      <c r="B28" s="101"/>
      <c r="C28" s="102"/>
      <c r="D28" s="103"/>
      <c r="E28" s="103"/>
      <c r="F28" s="102"/>
      <c r="G28" s="104"/>
      <c r="H28" s="102"/>
      <c r="I28" s="102"/>
      <c r="J28" s="104"/>
    </row>
    <row r="29" spans="1:10" s="93" customFormat="1" ht="12.75" customHeight="1">
      <c r="A29" s="101"/>
      <c r="B29" s="101"/>
      <c r="C29" s="102"/>
      <c r="D29" s="103"/>
      <c r="E29" s="103"/>
      <c r="F29" s="102"/>
      <c r="G29" s="104"/>
      <c r="H29" s="102"/>
      <c r="I29" s="102"/>
      <c r="J29" s="104"/>
    </row>
    <row r="30" spans="1:10" s="93" customFormat="1" ht="12.75" customHeight="1">
      <c r="A30" s="101"/>
      <c r="B30" s="101"/>
      <c r="C30" s="102"/>
      <c r="D30" s="103"/>
      <c r="E30" s="103"/>
      <c r="F30" s="102"/>
      <c r="G30" s="104"/>
      <c r="H30" s="102"/>
      <c r="I30" s="102"/>
      <c r="J30" s="104"/>
    </row>
    <row r="31" spans="1:10" s="93" customFormat="1" ht="12.75" customHeight="1">
      <c r="A31" s="105" t="s">
        <v>132</v>
      </c>
      <c r="B31" s="105"/>
      <c r="C31" s="105"/>
      <c r="D31" s="105"/>
      <c r="E31" s="105"/>
      <c r="F31" s="105"/>
      <c r="G31" s="106"/>
      <c r="H31" s="102"/>
      <c r="I31" s="102"/>
      <c r="J31" s="104"/>
    </row>
    <row r="32" spans="1:10" s="93" customFormat="1" ht="12.75" customHeight="1">
      <c r="A32" s="101"/>
      <c r="B32" s="101"/>
      <c r="C32" s="102"/>
      <c r="D32" s="103"/>
      <c r="E32" s="103"/>
      <c r="F32" s="102"/>
      <c r="G32" s="104"/>
      <c r="H32" s="102"/>
      <c r="I32" s="102"/>
      <c r="J32" s="104"/>
    </row>
    <row r="33" spans="7:10" ht="27.75" customHeight="1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24.75" customHeight="1">
      <c r="A35" s="50" t="s">
        <v>130</v>
      </c>
      <c r="B35" s="89">
        <f>J27</f>
        <v>2000</v>
      </c>
      <c r="C35" s="61">
        <v>35</v>
      </c>
      <c r="D35" s="61">
        <v>9</v>
      </c>
      <c r="E35" s="61">
        <v>35</v>
      </c>
      <c r="F35" s="86">
        <f>ROUND(B35*C35/100*D35*E35/1000,1)</f>
        <v>220.5</v>
      </c>
      <c r="G35" s="86">
        <f>ROUND(F35*27.1%,1)</f>
        <v>59.8</v>
      </c>
      <c r="H35" s="86">
        <f>F35+G35</f>
        <v>280.3</v>
      </c>
      <c r="I35" s="53" t="s">
        <v>141</v>
      </c>
      <c r="J35" s="98"/>
    </row>
    <row r="36" spans="1:10" ht="12.75" customHeight="1">
      <c r="A36" s="50" t="s">
        <v>7</v>
      </c>
      <c r="B36" s="89">
        <f>J27</f>
        <v>2000</v>
      </c>
      <c r="C36" s="113">
        <v>4</v>
      </c>
      <c r="D36" s="61">
        <v>9</v>
      </c>
      <c r="E36" s="61">
        <v>35</v>
      </c>
      <c r="F36" s="86">
        <f>ROUND(B36*C36/100*D36*E36/1000,1)</f>
        <v>25.2</v>
      </c>
      <c r="G36" s="86">
        <f>ROUND(F36*27.1%,1)</f>
        <v>6.8</v>
      </c>
      <c r="H36" s="86">
        <f>F36+G36</f>
        <v>32</v>
      </c>
      <c r="I36" s="53">
        <f>F36/D36*1000</f>
        <v>2800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9"/>
      <c r="B39" s="109"/>
      <c r="C39" s="109"/>
      <c r="D39" s="109"/>
      <c r="E39" s="110"/>
      <c r="F39" s="110">
        <f>SUM(F35:F38)</f>
        <v>245.7</v>
      </c>
      <c r="G39" s="110">
        <f>SUM(G35:G38)</f>
        <v>66.6</v>
      </c>
      <c r="H39" s="110">
        <f>SUM(H35:H38)</f>
        <v>312.3</v>
      </c>
    </row>
    <row r="40" spans="1:6" ht="22.5" customHeight="1">
      <c r="A40" s="55"/>
      <c r="B40" s="55"/>
      <c r="E40" s="57"/>
      <c r="F40" s="64"/>
    </row>
    <row r="41" spans="1:6" ht="25.5" customHeight="1">
      <c r="A41" s="180" t="s">
        <v>87</v>
      </c>
      <c r="B41" s="180"/>
      <c r="C41" s="180"/>
      <c r="D41" s="82"/>
      <c r="E41" s="82"/>
      <c r="F41" s="64"/>
    </row>
    <row r="42" spans="1:6" ht="12.75">
      <c r="A42" s="49"/>
      <c r="B42" s="49"/>
      <c r="C42" s="49"/>
      <c r="D42" s="56"/>
      <c r="E42" s="56"/>
      <c r="F42" s="64"/>
    </row>
    <row r="43" spans="1:6" ht="38.25">
      <c r="A43" s="58" t="s">
        <v>73</v>
      </c>
      <c r="B43" s="58" t="s">
        <v>72</v>
      </c>
      <c r="C43" s="58" t="s">
        <v>107</v>
      </c>
      <c r="D43" s="58" t="s">
        <v>108</v>
      </c>
      <c r="E43" s="70"/>
      <c r="F43" s="64"/>
    </row>
    <row r="44" spans="1:6" ht="12.75">
      <c r="A44" s="51">
        <f>J27</f>
        <v>2000</v>
      </c>
      <c r="B44" s="52">
        <v>35</v>
      </c>
      <c r="C44" s="52">
        <v>9</v>
      </c>
      <c r="D44" s="117">
        <f>ROUND(A44*B44*C44/1000,1)</f>
        <v>630</v>
      </c>
      <c r="E44" s="54"/>
      <c r="F44" s="64"/>
    </row>
    <row r="45" spans="1:6" ht="12.75">
      <c r="A45" s="55"/>
      <c r="B45" s="55"/>
      <c r="D45" s="54"/>
      <c r="E45" s="80"/>
      <c r="F45" s="64"/>
    </row>
  </sheetData>
  <sheetProtection/>
  <mergeCells count="6">
    <mergeCell ref="A5:J5"/>
    <mergeCell ref="A6:J6"/>
    <mergeCell ref="A7:J7"/>
    <mergeCell ref="A8:J8"/>
    <mergeCell ref="B10:H10"/>
    <mergeCell ref="A41:C41"/>
  </mergeCells>
  <printOptions/>
  <pageMargins left="0.7" right="0.7" top="0.39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8.5742187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8.8515625" style="53" customWidth="1"/>
    <col min="11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131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.75" customHeight="1">
      <c r="A10" s="100"/>
      <c r="B10" s="181" t="s">
        <v>128</v>
      </c>
      <c r="C10" s="181"/>
      <c r="D10" s="181"/>
      <c r="E10" s="181"/>
      <c r="F10" s="181"/>
      <c r="G10" s="181"/>
      <c r="H10" s="181"/>
      <c r="I10" s="100"/>
      <c r="J10" s="100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3</v>
      </c>
      <c r="D13" s="61">
        <f>A13/B13*C13</f>
        <v>12</v>
      </c>
      <c r="E13" s="61">
        <f>A13*C13</f>
        <v>108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51.7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50" t="s">
        <v>142</v>
      </c>
      <c r="C17" s="51">
        <v>440.01</v>
      </c>
      <c r="D17" s="77">
        <v>108</v>
      </c>
      <c r="E17" s="77">
        <v>30</v>
      </c>
      <c r="F17" s="52">
        <v>50</v>
      </c>
      <c r="G17" s="51">
        <f>ROUND(C17*D17+C17*D17*E17%+(C17*D17+C17*D17*E17%)*F17%,2)</f>
        <v>92666.11</v>
      </c>
      <c r="H17" s="77">
        <v>9</v>
      </c>
      <c r="I17" s="77">
        <v>70</v>
      </c>
      <c r="J17" s="51">
        <f>ROUND(G17/H17/I17,2)</f>
        <v>147.09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70</v>
      </c>
      <c r="J18" s="51">
        <f aca="true" t="shared" si="0" ref="J18:J25">ROUND(G18/H18/I18,2)</f>
        <v>0</v>
      </c>
    </row>
    <row r="19" spans="1:10" ht="12.75">
      <c r="A19" s="50"/>
      <c r="B19" s="50" t="s">
        <v>7</v>
      </c>
      <c r="C19" s="51">
        <v>46.14</v>
      </c>
      <c r="D19" s="77">
        <v>108</v>
      </c>
      <c r="E19" s="77">
        <v>30</v>
      </c>
      <c r="F19" s="52">
        <v>50</v>
      </c>
      <c r="G19" s="51">
        <f>ROUND(C19*D19+C19*D19*E19%+C19*D19*F19%,2)</f>
        <v>8969.62</v>
      </c>
      <c r="H19" s="77">
        <v>9</v>
      </c>
      <c r="I19" s="77">
        <v>70</v>
      </c>
      <c r="J19" s="51">
        <f t="shared" si="0"/>
        <v>14.24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70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>
        <v>0</v>
      </c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70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0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70</v>
      </c>
      <c r="J22" s="51">
        <f>ROUND(G22/H22/I22,2)</f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>
        <v>30</v>
      </c>
      <c r="F23" s="52">
        <v>50</v>
      </c>
      <c r="G23" s="99">
        <f>G24+G25</f>
        <v>0</v>
      </c>
      <c r="H23" s="77">
        <v>9</v>
      </c>
      <c r="I23" s="77">
        <v>70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70</v>
      </c>
      <c r="J24" s="51">
        <f t="shared" si="0"/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70</v>
      </c>
      <c r="J25" s="51">
        <f t="shared" si="0"/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92666.11</v>
      </c>
      <c r="H26" s="90"/>
      <c r="I26" s="90"/>
      <c r="J26" s="90">
        <f>J17+J18+J22+J23</f>
        <v>147.09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2.04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300</v>
      </c>
    </row>
    <row r="29" spans="1:10" s="107" customFormat="1" ht="12.75">
      <c r="A29" s="101"/>
      <c r="B29" s="101"/>
      <c r="C29" s="102"/>
      <c r="D29" s="103"/>
      <c r="E29" s="103"/>
      <c r="F29" s="102"/>
      <c r="G29" s="104"/>
      <c r="H29" s="102"/>
      <c r="I29" s="102"/>
      <c r="J29" s="104"/>
    </row>
    <row r="30" spans="1:10" s="107" customFormat="1" ht="12.75">
      <c r="A30" s="101"/>
      <c r="B30" s="101"/>
      <c r="C30" s="102"/>
      <c r="D30" s="103"/>
      <c r="E30" s="103"/>
      <c r="F30" s="102"/>
      <c r="G30" s="104"/>
      <c r="H30" s="102"/>
      <c r="I30" s="102"/>
      <c r="J30" s="104"/>
    </row>
    <row r="31" spans="1:10" s="107" customFormat="1" ht="14.25">
      <c r="A31" s="105" t="s">
        <v>133</v>
      </c>
      <c r="B31" s="105"/>
      <c r="C31" s="105"/>
      <c r="D31" s="105"/>
      <c r="E31" s="105"/>
      <c r="F31" s="105"/>
      <c r="G31" s="106"/>
      <c r="H31" s="102"/>
      <c r="I31" s="102"/>
      <c r="J31" s="104"/>
    </row>
    <row r="32" spans="1:10" s="107" customFormat="1" ht="12.75">
      <c r="A32" s="101"/>
      <c r="B32" s="101"/>
      <c r="C32" s="102"/>
      <c r="D32" s="103"/>
      <c r="E32" s="103"/>
      <c r="F32" s="102"/>
      <c r="G32" s="104"/>
      <c r="H32" s="102"/>
      <c r="I32" s="102"/>
      <c r="J32" s="104"/>
    </row>
    <row r="33" spans="1:10" s="107" customFormat="1" ht="12.75">
      <c r="A33" s="101"/>
      <c r="B33" s="101"/>
      <c r="C33" s="102"/>
      <c r="D33" s="103"/>
      <c r="E33" s="103"/>
      <c r="F33" s="102"/>
      <c r="G33" s="104"/>
      <c r="H33" s="102"/>
      <c r="I33" s="102"/>
      <c r="J33" s="104"/>
    </row>
    <row r="34" spans="1:10" ht="12.75" customHeight="1">
      <c r="A34" s="58" t="s">
        <v>63</v>
      </c>
      <c r="B34" s="58" t="s">
        <v>110</v>
      </c>
      <c r="C34" s="111" t="s">
        <v>111</v>
      </c>
      <c r="D34" s="111" t="s">
        <v>109</v>
      </c>
      <c r="E34" s="111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138</v>
      </c>
      <c r="B35" s="89">
        <f>J28</f>
        <v>300</v>
      </c>
      <c r="C35" s="61">
        <v>35</v>
      </c>
      <c r="D35" s="61">
        <v>9</v>
      </c>
      <c r="E35" s="61">
        <v>70</v>
      </c>
      <c r="F35" s="86">
        <f>ROUND(B35*C35/100*D35*E35/1000,1)</f>
        <v>66.2</v>
      </c>
      <c r="G35" s="86">
        <f>ROUND(F35*27.1%,1)</f>
        <v>17.9</v>
      </c>
      <c r="H35" s="86">
        <f>F35+G35</f>
        <v>84.1</v>
      </c>
      <c r="I35" s="53">
        <f>F35/D35*1000</f>
        <v>7355.555555555556</v>
      </c>
      <c r="J35" s="98"/>
    </row>
    <row r="36" spans="1:10" ht="12.75" customHeight="1">
      <c r="A36" s="50" t="s">
        <v>7</v>
      </c>
      <c r="B36" s="89">
        <f>J28</f>
        <v>300</v>
      </c>
      <c r="C36" s="113">
        <v>4</v>
      </c>
      <c r="D36" s="61">
        <v>9</v>
      </c>
      <c r="E36" s="61">
        <v>70</v>
      </c>
      <c r="F36" s="86">
        <f>ROUND(B36*C36/100*D36*E36/1000,1)</f>
        <v>7.6</v>
      </c>
      <c r="G36" s="86">
        <f>ROUND(F36*27.1%,1)</f>
        <v>2.1</v>
      </c>
      <c r="H36" s="86">
        <f>F36+G36</f>
        <v>9.7</v>
      </c>
      <c r="I36" s="53">
        <f>F36/D36*1000</f>
        <v>844.4444444444445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9"/>
      <c r="B39" s="109"/>
      <c r="C39" s="109"/>
      <c r="D39" s="109"/>
      <c r="E39" s="110"/>
      <c r="F39" s="110">
        <f>SUM(F35:F38)</f>
        <v>73.8</v>
      </c>
      <c r="G39" s="110">
        <f>SUM(G35:G38)</f>
        <v>20</v>
      </c>
      <c r="H39" s="110">
        <f>SUM(H35:H38)</f>
        <v>93.8</v>
      </c>
    </row>
    <row r="40" spans="1:6" ht="22.5" customHeight="1">
      <c r="A40" s="55"/>
      <c r="B40" s="55"/>
      <c r="E40" s="57"/>
      <c r="F40" s="64"/>
    </row>
    <row r="41" spans="1:6" ht="25.5" customHeight="1">
      <c r="A41" s="180" t="s">
        <v>87</v>
      </c>
      <c r="B41" s="180"/>
      <c r="C41" s="180"/>
      <c r="D41" s="82"/>
      <c r="E41" s="82"/>
      <c r="F41" s="64"/>
    </row>
    <row r="42" spans="1:6" ht="12.75">
      <c r="A42" s="49"/>
      <c r="B42" s="49"/>
      <c r="C42" s="49"/>
      <c r="D42" s="56"/>
      <c r="E42" s="56"/>
      <c r="F42" s="64"/>
    </row>
    <row r="43" spans="1:6" ht="38.25">
      <c r="A43" s="58" t="s">
        <v>73</v>
      </c>
      <c r="B43" s="58" t="s">
        <v>72</v>
      </c>
      <c r="C43" s="58" t="s">
        <v>107</v>
      </c>
      <c r="D43" s="58" t="s">
        <v>108</v>
      </c>
      <c r="E43" s="70"/>
      <c r="F43" s="64"/>
    </row>
    <row r="44" spans="1:6" ht="12.75">
      <c r="A44" s="51">
        <f>J28</f>
        <v>300</v>
      </c>
      <c r="B44" s="52">
        <v>70</v>
      </c>
      <c r="C44" s="52">
        <v>9</v>
      </c>
      <c r="D44" s="52">
        <f>ROUND(A44*B44*C44/1000,1)</f>
        <v>189</v>
      </c>
      <c r="E44" s="54"/>
      <c r="F44" s="64"/>
    </row>
    <row r="45" spans="1:6" ht="12.75">
      <c r="A45" s="55"/>
      <c r="B45" s="55"/>
      <c r="D45" s="54"/>
      <c r="E45" s="80"/>
      <c r="F45" s="64"/>
    </row>
  </sheetData>
  <sheetProtection/>
  <mergeCells count="6">
    <mergeCell ref="A7:J7"/>
    <mergeCell ref="A8:J8"/>
    <mergeCell ref="B10:H10"/>
    <mergeCell ref="A41:C41"/>
    <mergeCell ref="A5:J5"/>
    <mergeCell ref="A6:J6"/>
  </mergeCells>
  <printOptions/>
  <pageMargins left="0.32" right="0.2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zoomScalePageLayoutView="0" workbookViewId="0" topLeftCell="A16">
      <selection activeCell="D48" sqref="D48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7.7109375" style="53" customWidth="1"/>
    <col min="5" max="5" width="8.140625" style="53" customWidth="1"/>
    <col min="6" max="6" width="5.5742187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9.8515625" style="53" customWidth="1"/>
    <col min="11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144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.75" customHeight="1">
      <c r="A10" s="100"/>
      <c r="B10" s="181" t="s">
        <v>134</v>
      </c>
      <c r="C10" s="181"/>
      <c r="D10" s="181"/>
      <c r="E10" s="181"/>
      <c r="F10" s="181"/>
      <c r="G10" s="181"/>
      <c r="H10" s="181"/>
      <c r="I10" s="100"/>
      <c r="J10" s="100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2</v>
      </c>
      <c r="D13" s="61">
        <f>A13/B13*C13</f>
        <v>8</v>
      </c>
      <c r="E13" s="61">
        <f>A13*C13</f>
        <v>72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51.7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112" t="s">
        <v>135</v>
      </c>
      <c r="C17" s="51">
        <v>262.59</v>
      </c>
      <c r="D17" s="77">
        <v>72</v>
      </c>
      <c r="E17" s="77">
        <v>30</v>
      </c>
      <c r="F17" s="52">
        <v>50</v>
      </c>
      <c r="G17" s="51">
        <f>ROUND(C17*D17+C17*D17*E17%+(C17*D17+C17*D17*E17%)*F17%,2)</f>
        <v>36867.64</v>
      </c>
      <c r="H17" s="77">
        <v>9</v>
      </c>
      <c r="I17" s="77">
        <v>80</v>
      </c>
      <c r="J17" s="51">
        <f aca="true" t="shared" si="0" ref="J17:J22">ROUND(G17/H17/I17,2)</f>
        <v>51.21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80</v>
      </c>
      <c r="J18" s="51">
        <f t="shared" si="0"/>
        <v>0</v>
      </c>
    </row>
    <row r="19" spans="1:10" ht="12.75">
      <c r="A19" s="50"/>
      <c r="B19" s="50" t="s">
        <v>7</v>
      </c>
      <c r="C19" s="51">
        <v>46.14</v>
      </c>
      <c r="D19" s="77">
        <v>72</v>
      </c>
      <c r="E19" s="77">
        <v>30</v>
      </c>
      <c r="F19" s="52">
        <v>50</v>
      </c>
      <c r="G19" s="51">
        <f>ROUND(C19*D19+C19*D19*E19%+C19*D19*F19%,2)</f>
        <v>5979.74</v>
      </c>
      <c r="H19" s="77">
        <v>9</v>
      </c>
      <c r="I19" s="77">
        <v>80</v>
      </c>
      <c r="J19" s="51">
        <f t="shared" si="0"/>
        <v>8.31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80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80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0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80</v>
      </c>
      <c r="J22" s="51">
        <f t="shared" si="0"/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>
        <v>30</v>
      </c>
      <c r="F23" s="52">
        <v>50</v>
      </c>
      <c r="G23" s="99">
        <f>G24+G25</f>
        <v>0</v>
      </c>
      <c r="H23" s="77">
        <v>9</v>
      </c>
      <c r="I23" s="77">
        <v>80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80</v>
      </c>
      <c r="J24" s="51">
        <f>ROUND(G24/H24/I24,2)</f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80</v>
      </c>
      <c r="J25" s="51">
        <f>ROUND(G25/H25/I25,2)</f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36867.64</v>
      </c>
      <c r="H26" s="90"/>
      <c r="I26" s="90"/>
      <c r="J26" s="90">
        <f>J17+J18+J22+J23</f>
        <v>51.21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5.86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300</v>
      </c>
    </row>
    <row r="29" spans="1:10" s="107" customFormat="1" ht="12.75">
      <c r="A29" s="101"/>
      <c r="B29" s="101"/>
      <c r="C29" s="102"/>
      <c r="D29" s="103"/>
      <c r="E29" s="103"/>
      <c r="F29" s="102"/>
      <c r="G29" s="104"/>
      <c r="H29" s="102"/>
      <c r="I29" s="102"/>
      <c r="J29" s="104"/>
    </row>
    <row r="30" spans="1:10" s="107" customFormat="1" ht="12.75">
      <c r="A30" s="101"/>
      <c r="B30" s="101"/>
      <c r="C30" s="102"/>
      <c r="D30" s="103"/>
      <c r="E30" s="103"/>
      <c r="F30" s="102"/>
      <c r="G30" s="104"/>
      <c r="H30" s="102"/>
      <c r="I30" s="102"/>
      <c r="J30" s="104"/>
    </row>
    <row r="31" spans="1:10" s="107" customFormat="1" ht="14.25">
      <c r="A31" s="105" t="s">
        <v>132</v>
      </c>
      <c r="B31" s="105"/>
      <c r="C31" s="105"/>
      <c r="D31" s="105"/>
      <c r="E31" s="105"/>
      <c r="F31" s="105"/>
      <c r="G31" s="106"/>
      <c r="H31" s="102"/>
      <c r="I31" s="102"/>
      <c r="J31" s="104"/>
    </row>
    <row r="32" spans="1:10" s="107" customFormat="1" ht="12.75">
      <c r="A32" s="101"/>
      <c r="B32" s="101"/>
      <c r="C32" s="102"/>
      <c r="D32" s="103"/>
      <c r="E32" s="103"/>
      <c r="F32" s="102"/>
      <c r="G32" s="104"/>
      <c r="H32" s="102"/>
      <c r="I32" s="102"/>
      <c r="J32" s="104"/>
    </row>
    <row r="33" spans="7:10" ht="12.75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136</v>
      </c>
      <c r="B35" s="89">
        <f>J28</f>
        <v>300</v>
      </c>
      <c r="C35" s="61">
        <v>35</v>
      </c>
      <c r="D35" s="61">
        <v>9</v>
      </c>
      <c r="E35" s="61">
        <v>80</v>
      </c>
      <c r="F35" s="86">
        <f>ROUND(B35*C35/100*D35*E35/1000,1)</f>
        <v>75.6</v>
      </c>
      <c r="G35" s="86">
        <f>ROUND(F35*27.1%,1)</f>
        <v>20.5</v>
      </c>
      <c r="H35" s="86">
        <f>F35+G35</f>
        <v>96.1</v>
      </c>
      <c r="J35" s="98"/>
    </row>
    <row r="36" spans="1:10" ht="12.75" customHeight="1">
      <c r="A36" s="50" t="s">
        <v>7</v>
      </c>
      <c r="B36" s="89">
        <f>J28</f>
        <v>300</v>
      </c>
      <c r="C36" s="113">
        <v>4</v>
      </c>
      <c r="D36" s="61">
        <v>9</v>
      </c>
      <c r="E36" s="61">
        <v>80</v>
      </c>
      <c r="F36" s="86">
        <f>ROUND(B36*C36/100*D36*E36/1000,1)</f>
        <v>8.6</v>
      </c>
      <c r="G36" s="86">
        <f>ROUND(F36*27.1%,1)</f>
        <v>2.3</v>
      </c>
      <c r="H36" s="86">
        <f>F36+G36</f>
        <v>10.899999999999999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0"/>
      <c r="B39" s="89"/>
      <c r="C39" s="61"/>
      <c r="D39" s="61"/>
      <c r="E39" s="61"/>
      <c r="F39" s="86"/>
      <c r="G39" s="86"/>
      <c r="H39" s="86"/>
    </row>
    <row r="40" spans="1:8" ht="12.75" customHeight="1">
      <c r="A40" s="50"/>
      <c r="B40" s="61"/>
      <c r="C40" s="61"/>
      <c r="D40" s="61"/>
      <c r="E40" s="88"/>
      <c r="F40" s="88">
        <f>SUM(F35:F39)</f>
        <v>84.19999999999999</v>
      </c>
      <c r="G40" s="88">
        <f>SUM(G35:G39)</f>
        <v>22.8</v>
      </c>
      <c r="H40" s="88">
        <f>SUM(H35:H39)</f>
        <v>107</v>
      </c>
    </row>
    <row r="41" spans="1:6" ht="22.5" customHeight="1">
      <c r="A41" s="55"/>
      <c r="B41" s="55"/>
      <c r="E41" s="57"/>
      <c r="F41" s="64"/>
    </row>
    <row r="42" spans="1:6" ht="25.5" customHeight="1">
      <c r="A42" s="180" t="s">
        <v>87</v>
      </c>
      <c r="B42" s="180"/>
      <c r="C42" s="180"/>
      <c r="D42" s="82"/>
      <c r="E42" s="82"/>
      <c r="F42" s="64"/>
    </row>
    <row r="43" spans="1:6" ht="12.75">
      <c r="A43" s="49"/>
      <c r="B43" s="49"/>
      <c r="C43" s="49"/>
      <c r="D43" s="56"/>
      <c r="E43" s="56"/>
      <c r="F43" s="64"/>
    </row>
    <row r="44" spans="1:6" ht="38.25">
      <c r="A44" s="58" t="s">
        <v>73</v>
      </c>
      <c r="B44" s="58" t="s">
        <v>72</v>
      </c>
      <c r="C44" s="58" t="s">
        <v>107</v>
      </c>
      <c r="D44" s="58" t="s">
        <v>108</v>
      </c>
      <c r="E44" s="70"/>
      <c r="F44" s="64"/>
    </row>
    <row r="45" spans="1:6" ht="12.75">
      <c r="A45" s="51">
        <f>J28</f>
        <v>300</v>
      </c>
      <c r="B45" s="52">
        <v>80</v>
      </c>
      <c r="C45" s="52">
        <v>9</v>
      </c>
      <c r="D45" s="52">
        <f>ROUND(A45*B45*C45/1000,1)</f>
        <v>216</v>
      </c>
      <c r="E45" s="54"/>
      <c r="F45" s="64"/>
    </row>
    <row r="46" spans="1:6" ht="12.75">
      <c r="A46" s="55"/>
      <c r="B46" s="55"/>
      <c r="D46" s="54"/>
      <c r="E46" s="80"/>
      <c r="F46" s="64"/>
    </row>
  </sheetData>
  <sheetProtection/>
  <mergeCells count="6">
    <mergeCell ref="A42:C42"/>
    <mergeCell ref="A5:J5"/>
    <mergeCell ref="A6:J6"/>
    <mergeCell ref="A7:J7"/>
    <mergeCell ref="A8:J8"/>
    <mergeCell ref="B10:H10"/>
  </mergeCells>
  <printOptions/>
  <pageMargins left="0.28" right="0.2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zoomScalePageLayoutView="0" workbookViewId="0" topLeftCell="A22">
      <selection activeCell="J10" sqref="J10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7.7109375" style="53" customWidth="1"/>
    <col min="5" max="5" width="8.140625" style="53" customWidth="1"/>
    <col min="6" max="6" width="5.5742187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9.8515625" style="53" customWidth="1"/>
    <col min="11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144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168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2.75" customHeight="1">
      <c r="A10" s="118"/>
      <c r="B10" s="181" t="s">
        <v>169</v>
      </c>
      <c r="C10" s="181"/>
      <c r="D10" s="181"/>
      <c r="E10" s="181"/>
      <c r="F10" s="181"/>
      <c r="G10" s="181"/>
      <c r="H10" s="181"/>
      <c r="I10" s="118"/>
      <c r="J10" s="118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2</v>
      </c>
      <c r="D13" s="61">
        <f>A13/B13*C13</f>
        <v>8</v>
      </c>
      <c r="E13" s="61">
        <f>A13*C13</f>
        <v>72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51.7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112" t="s">
        <v>135</v>
      </c>
      <c r="C17" s="51">
        <v>262.59</v>
      </c>
      <c r="D17" s="77">
        <v>72</v>
      </c>
      <c r="E17" s="77">
        <v>30</v>
      </c>
      <c r="F17" s="52">
        <v>50</v>
      </c>
      <c r="G17" s="51">
        <f>ROUND(C17*D17+C17*D17*E17%+(C17*D17+C17*D17*E17%)*F17%,2)</f>
        <v>36867.64</v>
      </c>
      <c r="H17" s="77">
        <v>9</v>
      </c>
      <c r="I17" s="77">
        <v>5</v>
      </c>
      <c r="J17" s="51">
        <f aca="true" t="shared" si="0" ref="J17:J22">ROUND(G17/H17/I17,2)</f>
        <v>819.28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5</v>
      </c>
      <c r="J18" s="51">
        <f t="shared" si="0"/>
        <v>0</v>
      </c>
    </row>
    <row r="19" spans="1:10" ht="12.75">
      <c r="A19" s="50"/>
      <c r="B19" s="50" t="s">
        <v>7</v>
      </c>
      <c r="C19" s="51">
        <v>46.14</v>
      </c>
      <c r="D19" s="77">
        <v>72</v>
      </c>
      <c r="E19" s="77">
        <v>30</v>
      </c>
      <c r="F19" s="52">
        <v>50</v>
      </c>
      <c r="G19" s="51">
        <f>ROUND(C19*D19+C19*D19*E19%+C19*D19*F19%,2)</f>
        <v>5979.74</v>
      </c>
      <c r="H19" s="77">
        <v>9</v>
      </c>
      <c r="I19" s="77">
        <v>5</v>
      </c>
      <c r="J19" s="51">
        <f t="shared" si="0"/>
        <v>132.88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5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5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0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5</v>
      </c>
      <c r="J22" s="51">
        <f t="shared" si="0"/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>
        <v>30</v>
      </c>
      <c r="F23" s="52">
        <v>50</v>
      </c>
      <c r="G23" s="99">
        <f>G24+G25</f>
        <v>0</v>
      </c>
      <c r="H23" s="77">
        <v>9</v>
      </c>
      <c r="I23" s="77">
        <v>5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5</v>
      </c>
      <c r="J24" s="51">
        <f>ROUND(G24/H24/I24,2)</f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5</v>
      </c>
      <c r="J25" s="51">
        <f>ROUND(G25/H25/I25,2)</f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36867.64</v>
      </c>
      <c r="H26" s="90"/>
      <c r="I26" s="90"/>
      <c r="J26" s="90">
        <f>J17+J18+J22+J23</f>
        <v>819.28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0.98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800</v>
      </c>
    </row>
    <row r="29" spans="1:10" s="107" customFormat="1" ht="12.75">
      <c r="A29" s="101"/>
      <c r="B29" s="101"/>
      <c r="C29" s="102"/>
      <c r="D29" s="103"/>
      <c r="E29" s="103"/>
      <c r="F29" s="102"/>
      <c r="G29" s="104"/>
      <c r="H29" s="102"/>
      <c r="I29" s="102"/>
      <c r="J29" s="104"/>
    </row>
    <row r="30" spans="1:10" s="107" customFormat="1" ht="12.75">
      <c r="A30" s="101"/>
      <c r="B30" s="101"/>
      <c r="C30" s="102"/>
      <c r="D30" s="103"/>
      <c r="E30" s="103"/>
      <c r="F30" s="102"/>
      <c r="G30" s="104"/>
      <c r="H30" s="102"/>
      <c r="I30" s="102"/>
      <c r="J30" s="104"/>
    </row>
    <row r="31" spans="1:10" s="107" customFormat="1" ht="14.25">
      <c r="A31" s="105" t="s">
        <v>132</v>
      </c>
      <c r="B31" s="105"/>
      <c r="C31" s="105"/>
      <c r="D31" s="105"/>
      <c r="E31" s="105"/>
      <c r="F31" s="105"/>
      <c r="G31" s="106"/>
      <c r="H31" s="102"/>
      <c r="I31" s="102"/>
      <c r="J31" s="104"/>
    </row>
    <row r="32" spans="1:10" s="107" customFormat="1" ht="12.75">
      <c r="A32" s="101"/>
      <c r="B32" s="101"/>
      <c r="C32" s="102"/>
      <c r="D32" s="103"/>
      <c r="E32" s="103"/>
      <c r="F32" s="102"/>
      <c r="G32" s="104"/>
      <c r="H32" s="102"/>
      <c r="I32" s="102"/>
      <c r="J32" s="104"/>
    </row>
    <row r="33" spans="7:10" ht="12.75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136</v>
      </c>
      <c r="B35" s="89">
        <f>J28</f>
        <v>800</v>
      </c>
      <c r="C35" s="61">
        <v>35</v>
      </c>
      <c r="D35" s="61">
        <v>9</v>
      </c>
      <c r="E35" s="61">
        <v>5</v>
      </c>
      <c r="F35" s="86">
        <f>ROUND(B35*C35/100*D35*E35/1000,1)</f>
        <v>12.6</v>
      </c>
      <c r="G35" s="86">
        <f>ROUND(F35*27.1%,1)</f>
        <v>3.4</v>
      </c>
      <c r="H35" s="86">
        <f>F35+G35</f>
        <v>16</v>
      </c>
      <c r="J35" s="98"/>
    </row>
    <row r="36" spans="1:10" ht="12.75" customHeight="1">
      <c r="A36" s="50" t="s">
        <v>7</v>
      </c>
      <c r="B36" s="89">
        <f>J28</f>
        <v>800</v>
      </c>
      <c r="C36" s="113">
        <v>4</v>
      </c>
      <c r="D36" s="61">
        <v>9</v>
      </c>
      <c r="E36" s="61">
        <v>5</v>
      </c>
      <c r="F36" s="86">
        <f>ROUND(B36*C36/100*D36*E36/1000,1)</f>
        <v>1.4</v>
      </c>
      <c r="G36" s="86">
        <f>ROUND(F36*27.1%,1)</f>
        <v>0.4</v>
      </c>
      <c r="H36" s="86">
        <f>F36+G36</f>
        <v>1.7999999999999998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0"/>
      <c r="B39" s="89"/>
      <c r="C39" s="61"/>
      <c r="D39" s="61"/>
      <c r="E39" s="61"/>
      <c r="F39" s="86"/>
      <c r="G39" s="86"/>
      <c r="H39" s="86"/>
    </row>
    <row r="40" spans="1:8" ht="12.75" customHeight="1">
      <c r="A40" s="50"/>
      <c r="B40" s="61"/>
      <c r="C40" s="61"/>
      <c r="D40" s="61"/>
      <c r="E40" s="88"/>
      <c r="F40" s="88">
        <f>SUM(F35:F39)</f>
        <v>14</v>
      </c>
      <c r="G40" s="88">
        <f>SUM(G35:G39)</f>
        <v>3.8</v>
      </c>
      <c r="H40" s="88">
        <f>SUM(H35:H39)</f>
        <v>17.8</v>
      </c>
    </row>
    <row r="41" spans="1:6" ht="22.5" customHeight="1">
      <c r="A41" s="55"/>
      <c r="B41" s="55"/>
      <c r="E41" s="57"/>
      <c r="F41" s="64"/>
    </row>
    <row r="42" spans="1:6" ht="25.5" customHeight="1">
      <c r="A42" s="180" t="s">
        <v>87</v>
      </c>
      <c r="B42" s="180"/>
      <c r="C42" s="180"/>
      <c r="D42" s="82"/>
      <c r="E42" s="82"/>
      <c r="F42" s="64"/>
    </row>
    <row r="43" spans="1:6" ht="12.75">
      <c r="A43" s="49"/>
      <c r="B43" s="49"/>
      <c r="C43" s="49"/>
      <c r="D43" s="56"/>
      <c r="E43" s="56"/>
      <c r="F43" s="64"/>
    </row>
    <row r="44" spans="1:6" ht="38.25">
      <c r="A44" s="58" t="s">
        <v>73</v>
      </c>
      <c r="B44" s="58" t="s">
        <v>72</v>
      </c>
      <c r="C44" s="58" t="s">
        <v>107</v>
      </c>
      <c r="D44" s="58" t="s">
        <v>108</v>
      </c>
      <c r="E44" s="70"/>
      <c r="F44" s="64"/>
    </row>
    <row r="45" spans="1:6" ht="12.75">
      <c r="A45" s="51">
        <f>J28</f>
        <v>800</v>
      </c>
      <c r="B45" s="52">
        <v>5</v>
      </c>
      <c r="C45" s="52">
        <v>9</v>
      </c>
      <c r="D45" s="52">
        <f>ROUND(A45*B45*C45/1000,1)</f>
        <v>36</v>
      </c>
      <c r="E45" s="54"/>
      <c r="F45" s="64"/>
    </row>
    <row r="46" spans="1:6" ht="12.75">
      <c r="A46" s="55"/>
      <c r="B46" s="55"/>
      <c r="D46" s="54"/>
      <c r="E46" s="80"/>
      <c r="F46" s="64"/>
    </row>
  </sheetData>
  <sheetProtection/>
  <mergeCells count="6">
    <mergeCell ref="A5:J5"/>
    <mergeCell ref="A6:J6"/>
    <mergeCell ref="A7:J7"/>
    <mergeCell ref="A8:J8"/>
    <mergeCell ref="B10:H10"/>
    <mergeCell ref="A42:C42"/>
  </mergeCells>
  <printOptions/>
  <pageMargins left="0.28" right="0.2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zoomScalePageLayoutView="0" workbookViewId="0" topLeftCell="A25">
      <selection activeCell="G12" sqref="G12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7.14062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10.00390625" style="53" customWidth="1"/>
    <col min="11" max="11" width="11.421875" style="53" customWidth="1"/>
    <col min="12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144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2.75" customHeight="1">
      <c r="A10" s="108"/>
      <c r="B10" s="181" t="s">
        <v>137</v>
      </c>
      <c r="C10" s="181"/>
      <c r="D10" s="181"/>
      <c r="E10" s="181"/>
      <c r="F10" s="181"/>
      <c r="G10" s="181"/>
      <c r="H10" s="181"/>
      <c r="I10" s="108"/>
      <c r="J10" s="108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3</v>
      </c>
      <c r="D13" s="61">
        <f>A13/B13*C13</f>
        <v>12</v>
      </c>
      <c r="E13" s="61">
        <f>A13*C13</f>
        <v>108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51.7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50" t="s">
        <v>138</v>
      </c>
      <c r="C17" s="51">
        <v>220</v>
      </c>
      <c r="D17" s="77">
        <v>108</v>
      </c>
      <c r="E17" s="77">
        <v>30</v>
      </c>
      <c r="F17" s="52">
        <v>50</v>
      </c>
      <c r="G17" s="51">
        <f>ROUND(C17*D17+C17*D17*E17%+(C17*D17+C17*D17*E17%)*F17%,2)</f>
        <v>46332</v>
      </c>
      <c r="H17" s="77">
        <v>9</v>
      </c>
      <c r="I17" s="77">
        <v>90</v>
      </c>
      <c r="J17" s="51">
        <f>ROUND(G17/H17/I17,2)</f>
        <v>57.2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90</v>
      </c>
      <c r="J18" s="51">
        <f aca="true" t="shared" si="0" ref="J18:J25">ROUND(G18/H18/I18,2)</f>
        <v>0</v>
      </c>
    </row>
    <row r="19" spans="1:10" ht="12.75">
      <c r="A19" s="50"/>
      <c r="B19" s="50" t="s">
        <v>7</v>
      </c>
      <c r="C19" s="51">
        <v>46.14</v>
      </c>
      <c r="D19" s="77">
        <v>108</v>
      </c>
      <c r="E19" s="77">
        <v>30</v>
      </c>
      <c r="F19" s="52">
        <v>50</v>
      </c>
      <c r="G19" s="51">
        <f>ROUND(C19*D19+C19*D19*E19%+C19*D19*F19%,2)</f>
        <v>8969.62</v>
      </c>
      <c r="H19" s="77">
        <v>9</v>
      </c>
      <c r="I19" s="77">
        <v>90</v>
      </c>
      <c r="J19" s="51">
        <f t="shared" si="0"/>
        <v>11.07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90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90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21.84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90</v>
      </c>
      <c r="J22" s="51">
        <f>ROUND(G22/H22/I22,2)</f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/>
      <c r="F23" s="52">
        <v>50</v>
      </c>
      <c r="G23" s="99">
        <f>G24+G25</f>
        <v>0</v>
      </c>
      <c r="H23" s="77">
        <v>9</v>
      </c>
      <c r="I23" s="77">
        <v>90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90</v>
      </c>
      <c r="J24" s="51">
        <f t="shared" si="0"/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90</v>
      </c>
      <c r="J25" s="51">
        <f t="shared" si="0"/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46332</v>
      </c>
      <c r="H26" s="90"/>
      <c r="I26" s="90"/>
      <c r="J26" s="90">
        <f>J17+J18+J22+J23</f>
        <v>57.2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5.24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300</v>
      </c>
    </row>
    <row r="29" spans="7:10" ht="12.75">
      <c r="G29" s="98"/>
      <c r="J29" s="98"/>
    </row>
    <row r="30" spans="7:10" ht="12.75">
      <c r="G30" s="98"/>
      <c r="J30" s="98"/>
    </row>
    <row r="31" spans="1:10" ht="14.25">
      <c r="A31" s="105" t="s">
        <v>132</v>
      </c>
      <c r="B31" s="105"/>
      <c r="C31" s="105"/>
      <c r="D31" s="105"/>
      <c r="E31" s="105"/>
      <c r="F31" s="105"/>
      <c r="G31" s="106"/>
      <c r="H31" s="102"/>
      <c r="J31" s="98"/>
    </row>
    <row r="32" spans="7:10" ht="12.75">
      <c r="G32" s="98"/>
      <c r="J32" s="98"/>
    </row>
    <row r="33" spans="7:10" ht="12.75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138</v>
      </c>
      <c r="B35" s="89">
        <f>J28</f>
        <v>300</v>
      </c>
      <c r="C35" s="61">
        <v>35</v>
      </c>
      <c r="D35" s="61">
        <v>9</v>
      </c>
      <c r="E35" s="61">
        <v>90</v>
      </c>
      <c r="F35" s="86">
        <f>ROUND(B35*C35/100*D35*E35/1000,1)</f>
        <v>85.1</v>
      </c>
      <c r="G35" s="86">
        <f>ROUND(F35*27.1%,1)</f>
        <v>23.1</v>
      </c>
      <c r="H35" s="86">
        <f>F35+G35</f>
        <v>108.19999999999999</v>
      </c>
      <c r="J35" s="98"/>
    </row>
    <row r="36" spans="1:10" ht="12.75" customHeight="1">
      <c r="A36" s="50" t="s">
        <v>7</v>
      </c>
      <c r="B36" s="89">
        <f>J28</f>
        <v>300</v>
      </c>
      <c r="C36" s="113">
        <v>4</v>
      </c>
      <c r="D36" s="61">
        <v>9</v>
      </c>
      <c r="E36" s="61">
        <v>90</v>
      </c>
      <c r="F36" s="86">
        <f>ROUND(B36*C36/100*D36*E36/1000,1)</f>
        <v>9.7</v>
      </c>
      <c r="G36" s="86">
        <f>ROUND(F36*27.1%,1)</f>
        <v>2.6</v>
      </c>
      <c r="H36" s="86">
        <f>F36+G36</f>
        <v>12.299999999999999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0"/>
      <c r="B39" s="89"/>
      <c r="C39" s="61"/>
      <c r="D39" s="61"/>
      <c r="E39" s="61"/>
      <c r="F39" s="86"/>
      <c r="G39" s="86"/>
      <c r="H39" s="86"/>
    </row>
    <row r="40" spans="1:8" ht="12.75" customHeight="1">
      <c r="A40" s="50"/>
      <c r="B40" s="89"/>
      <c r="C40" s="61"/>
      <c r="D40" s="61"/>
      <c r="E40" s="61"/>
      <c r="F40" s="86"/>
      <c r="G40" s="86"/>
      <c r="H40" s="86"/>
    </row>
    <row r="41" spans="1:8" ht="12.75" customHeight="1">
      <c r="A41" s="59"/>
      <c r="B41" s="109"/>
      <c r="C41" s="109"/>
      <c r="D41" s="109"/>
      <c r="E41" s="110"/>
      <c r="F41" s="110">
        <f>SUM(F35:F40)</f>
        <v>94.8</v>
      </c>
      <c r="G41" s="110">
        <f>SUM(G35:G40)</f>
        <v>25.700000000000003</v>
      </c>
      <c r="H41" s="110">
        <f>SUM(H35:H40)</f>
        <v>120.49999999999999</v>
      </c>
    </row>
    <row r="42" spans="1:6" ht="22.5" customHeight="1">
      <c r="A42" s="55"/>
      <c r="B42" s="55"/>
      <c r="E42" s="57"/>
      <c r="F42" s="64"/>
    </row>
    <row r="43" spans="1:6" ht="25.5" customHeight="1">
      <c r="A43" s="180" t="s">
        <v>129</v>
      </c>
      <c r="B43" s="180"/>
      <c r="C43" s="180"/>
      <c r="D43" s="82"/>
      <c r="E43" s="82"/>
      <c r="F43" s="64"/>
    </row>
    <row r="44" spans="1:6" ht="12.75">
      <c r="A44" s="49"/>
      <c r="B44" s="49"/>
      <c r="C44" s="49"/>
      <c r="D44" s="56"/>
      <c r="E44" s="56"/>
      <c r="F44" s="64"/>
    </row>
    <row r="45" spans="1:6" ht="38.25">
      <c r="A45" s="58" t="s">
        <v>73</v>
      </c>
      <c r="B45" s="58" t="s">
        <v>72</v>
      </c>
      <c r="C45" s="58" t="s">
        <v>107</v>
      </c>
      <c r="D45" s="58" t="s">
        <v>108</v>
      </c>
      <c r="E45" s="70"/>
      <c r="F45" s="64"/>
    </row>
    <row r="46" spans="1:6" ht="12.75">
      <c r="A46" s="51">
        <f>J28</f>
        <v>300</v>
      </c>
      <c r="B46" s="52">
        <v>90</v>
      </c>
      <c r="C46" s="52">
        <v>9</v>
      </c>
      <c r="D46" s="52">
        <f>ROUND(A46*B46*C46/1000,1)</f>
        <v>243</v>
      </c>
      <c r="E46" s="54"/>
      <c r="F46" s="64"/>
    </row>
    <row r="47" spans="1:6" ht="12.75">
      <c r="A47" s="55"/>
      <c r="B47" s="55"/>
      <c r="D47" s="54"/>
      <c r="E47" s="80"/>
      <c r="F47" s="64"/>
    </row>
  </sheetData>
  <sheetProtection/>
  <mergeCells count="6">
    <mergeCell ref="A5:J5"/>
    <mergeCell ref="A6:J6"/>
    <mergeCell ref="A7:J7"/>
    <mergeCell ref="A8:J8"/>
    <mergeCell ref="B10:H10"/>
    <mergeCell ref="A43:C43"/>
  </mergeCells>
  <printOptions/>
  <pageMargins left="0.28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22">
      <selection activeCell="M25" sqref="M25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7.14062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10.00390625" style="53" customWidth="1"/>
    <col min="11" max="11" width="11.421875" style="53" customWidth="1"/>
    <col min="12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140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.75" customHeight="1">
      <c r="A10" s="100"/>
      <c r="B10" s="181" t="s">
        <v>139</v>
      </c>
      <c r="C10" s="181"/>
      <c r="D10" s="181"/>
      <c r="E10" s="181"/>
      <c r="F10" s="181"/>
      <c r="G10" s="181"/>
      <c r="H10" s="181"/>
      <c r="I10" s="100"/>
      <c r="J10" s="100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2</v>
      </c>
      <c r="D13" s="61">
        <f>A13/B13*C13</f>
        <v>8</v>
      </c>
      <c r="E13" s="61">
        <f>A13*C13</f>
        <v>72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51.7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50" t="s">
        <v>138</v>
      </c>
      <c r="C17" s="51">
        <v>220</v>
      </c>
      <c r="D17" s="77">
        <v>72</v>
      </c>
      <c r="E17" s="77">
        <v>30</v>
      </c>
      <c r="F17" s="52">
        <v>50</v>
      </c>
      <c r="G17" s="51">
        <f>ROUND(C17*D17+C17*D17*E17%+(C17*D17+C17*D17*E17%)*F17%,2)</f>
        <v>30888</v>
      </c>
      <c r="H17" s="77">
        <v>9</v>
      </c>
      <c r="I17" s="77">
        <v>70</v>
      </c>
      <c r="J17" s="51">
        <f>ROUND(G17/H17/I17,2)</f>
        <v>49.03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70</v>
      </c>
      <c r="J18" s="51">
        <f aca="true" t="shared" si="0" ref="J18:J25">ROUND(G18/H18/I18,2)</f>
        <v>0</v>
      </c>
    </row>
    <row r="19" spans="1:10" ht="12.75">
      <c r="A19" s="50"/>
      <c r="B19" s="50" t="s">
        <v>7</v>
      </c>
      <c r="C19" s="51">
        <v>46.14</v>
      </c>
      <c r="D19" s="77">
        <v>72</v>
      </c>
      <c r="E19" s="77">
        <v>30</v>
      </c>
      <c r="F19" s="52">
        <v>50</v>
      </c>
      <c r="G19" s="51">
        <f>ROUND(C19*D19+C19*D19*E19%+C19*D19*F19%,2)</f>
        <v>5979.74</v>
      </c>
      <c r="H19" s="77">
        <v>9</v>
      </c>
      <c r="I19" s="77">
        <v>70</v>
      </c>
      <c r="J19" s="51">
        <f t="shared" si="0"/>
        <v>9.49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70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70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21.84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70</v>
      </c>
      <c r="J22" s="51">
        <f>ROUND(G22/H22/I22,2)</f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/>
      <c r="F23" s="52">
        <v>50</v>
      </c>
      <c r="G23" s="99">
        <f>G24+G25</f>
        <v>0</v>
      </c>
      <c r="H23" s="77">
        <v>9</v>
      </c>
      <c r="I23" s="77">
        <v>70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70</v>
      </c>
      <c r="J24" s="51">
        <f t="shared" si="0"/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70</v>
      </c>
      <c r="J25" s="51">
        <f t="shared" si="0"/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30888</v>
      </c>
      <c r="H26" s="90"/>
      <c r="I26" s="90"/>
      <c r="J26" s="90">
        <f>J17+J18+J22+J23</f>
        <v>49.03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6.12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300</v>
      </c>
    </row>
    <row r="29" spans="7:10" ht="12.75">
      <c r="G29" s="98"/>
      <c r="J29" s="98"/>
    </row>
    <row r="30" spans="7:10" ht="12.75">
      <c r="G30" s="98"/>
      <c r="J30" s="98"/>
    </row>
    <row r="31" spans="1:10" ht="14.25">
      <c r="A31" s="105" t="s">
        <v>132</v>
      </c>
      <c r="B31" s="105"/>
      <c r="C31" s="105"/>
      <c r="D31" s="105"/>
      <c r="E31" s="105"/>
      <c r="F31" s="105"/>
      <c r="G31" s="106"/>
      <c r="H31" s="102"/>
      <c r="J31" s="98"/>
    </row>
    <row r="32" spans="7:10" ht="12.75">
      <c r="G32" s="98"/>
      <c r="J32" s="98"/>
    </row>
    <row r="33" spans="7:10" ht="12.75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138</v>
      </c>
      <c r="B35" s="89">
        <f>J28</f>
        <v>300</v>
      </c>
      <c r="C35" s="61">
        <v>35</v>
      </c>
      <c r="D35" s="61">
        <v>9</v>
      </c>
      <c r="E35" s="61">
        <v>70</v>
      </c>
      <c r="F35" s="86">
        <f>ROUND(B35*C35/100*D35*E35/1000,1)</f>
        <v>66.2</v>
      </c>
      <c r="G35" s="86">
        <f>ROUND(F35*27.1%,1)</f>
        <v>17.9</v>
      </c>
      <c r="H35" s="86">
        <f>F35+G35</f>
        <v>84.1</v>
      </c>
      <c r="J35" s="98"/>
    </row>
    <row r="36" spans="1:10" ht="12.75" customHeight="1">
      <c r="A36" s="50" t="s">
        <v>7</v>
      </c>
      <c r="B36" s="89">
        <f>J28</f>
        <v>300</v>
      </c>
      <c r="C36" s="113">
        <v>4</v>
      </c>
      <c r="D36" s="61">
        <v>9</v>
      </c>
      <c r="E36" s="61">
        <v>70</v>
      </c>
      <c r="F36" s="86">
        <f>ROUND(B36*C36/100*D36*E36/1000,1)</f>
        <v>7.6</v>
      </c>
      <c r="G36" s="86">
        <f>ROUND(F36*27.1%,1)</f>
        <v>2.1</v>
      </c>
      <c r="H36" s="86">
        <f>F36+G36</f>
        <v>9.7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9"/>
      <c r="B39" s="109"/>
      <c r="C39" s="109"/>
      <c r="D39" s="109"/>
      <c r="E39" s="110"/>
      <c r="F39" s="110">
        <f>SUM(F35:F38)</f>
        <v>73.8</v>
      </c>
      <c r="G39" s="110">
        <f>SUM(G35:G38)</f>
        <v>20</v>
      </c>
      <c r="H39" s="110">
        <f>SUM(H35:H38)</f>
        <v>93.8</v>
      </c>
    </row>
    <row r="40" spans="1:6" ht="22.5" customHeight="1">
      <c r="A40" s="55"/>
      <c r="B40" s="55"/>
      <c r="E40" s="57"/>
      <c r="F40" s="64"/>
    </row>
    <row r="41" spans="1:6" ht="25.5" customHeight="1">
      <c r="A41" s="180" t="s">
        <v>129</v>
      </c>
      <c r="B41" s="180"/>
      <c r="C41" s="180"/>
      <c r="D41" s="82"/>
      <c r="E41" s="82"/>
      <c r="F41" s="64"/>
    </row>
    <row r="42" spans="1:6" ht="12.75">
      <c r="A42" s="49"/>
      <c r="B42" s="49"/>
      <c r="C42" s="49"/>
      <c r="D42" s="56"/>
      <c r="E42" s="56"/>
      <c r="F42" s="64"/>
    </row>
    <row r="43" spans="1:6" ht="38.25">
      <c r="A43" s="58" t="s">
        <v>73</v>
      </c>
      <c r="B43" s="58" t="s">
        <v>72</v>
      </c>
      <c r="C43" s="58" t="s">
        <v>107</v>
      </c>
      <c r="D43" s="58" t="s">
        <v>108</v>
      </c>
      <c r="E43" s="70"/>
      <c r="F43" s="64"/>
    </row>
    <row r="44" spans="1:6" ht="12.75">
      <c r="A44" s="51">
        <f>J28</f>
        <v>300</v>
      </c>
      <c r="B44" s="52">
        <v>70</v>
      </c>
      <c r="C44" s="52">
        <v>9</v>
      </c>
      <c r="D44" s="52">
        <f>ROUND(A44*B44*C44/1000,1)</f>
        <v>189</v>
      </c>
      <c r="E44" s="54"/>
      <c r="F44" s="64"/>
    </row>
    <row r="45" spans="1:6" ht="12.75">
      <c r="A45" s="55"/>
      <c r="B45" s="55"/>
      <c r="D45" s="54"/>
      <c r="E45" s="80"/>
      <c r="F45" s="64"/>
    </row>
  </sheetData>
  <sheetProtection/>
  <mergeCells count="6">
    <mergeCell ref="A7:J7"/>
    <mergeCell ref="A8:J8"/>
    <mergeCell ref="B10:H10"/>
    <mergeCell ref="A41:C41"/>
    <mergeCell ref="A5:J5"/>
    <mergeCell ref="A6:J6"/>
  </mergeCells>
  <printOptions/>
  <pageMargins left="0.28" right="0.21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zoomScalePageLayoutView="0" workbookViewId="0" topLeftCell="A19">
      <selection activeCell="H46" sqref="H46"/>
    </sheetView>
  </sheetViews>
  <sheetFormatPr defaultColWidth="9.140625" defaultRowHeight="15"/>
  <cols>
    <col min="1" max="1" width="19.7109375" style="53" customWidth="1"/>
    <col min="2" max="2" width="14.421875" style="53" customWidth="1"/>
    <col min="3" max="3" width="7.57421875" style="53" customWidth="1"/>
    <col min="4" max="4" width="7.140625" style="53" customWidth="1"/>
    <col min="5" max="5" width="8.140625" style="53" customWidth="1"/>
    <col min="6" max="6" width="6.140625" style="53" customWidth="1"/>
    <col min="7" max="7" width="9.57421875" style="53" customWidth="1"/>
    <col min="8" max="8" width="7.7109375" style="53" customWidth="1"/>
    <col min="9" max="9" width="6.8515625" style="53" customWidth="1"/>
    <col min="10" max="10" width="10.00390625" style="53" customWidth="1"/>
    <col min="11" max="11" width="11.421875" style="53" customWidth="1"/>
    <col min="12" max="16384" width="9.140625" style="53" customWidth="1"/>
  </cols>
  <sheetData>
    <row r="1" ht="12.75" customHeight="1">
      <c r="H1" s="53" t="s">
        <v>125</v>
      </c>
    </row>
    <row r="2" ht="12.75" customHeight="1">
      <c r="G2" s="53" t="s">
        <v>126</v>
      </c>
    </row>
    <row r="3" ht="12.75" customHeight="1">
      <c r="G3" s="53" t="s">
        <v>177</v>
      </c>
    </row>
    <row r="4" ht="12.75" customHeight="1"/>
    <row r="5" spans="1:10" ht="12.7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 t="s">
        <v>127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2" t="s">
        <v>140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1" t="s">
        <v>178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15"/>
      <c r="B9" s="115"/>
      <c r="C9" s="181"/>
      <c r="D9" s="181"/>
      <c r="E9" s="181"/>
      <c r="F9" s="115"/>
      <c r="G9" s="115"/>
      <c r="H9" s="115"/>
      <c r="I9" s="115"/>
      <c r="J9" s="115"/>
    </row>
    <row r="10" spans="1:10" ht="12.75" customHeight="1">
      <c r="A10" s="115"/>
      <c r="B10" s="181" t="s">
        <v>145</v>
      </c>
      <c r="C10" s="181"/>
      <c r="D10" s="181"/>
      <c r="E10" s="181"/>
      <c r="F10" s="181"/>
      <c r="G10" s="181"/>
      <c r="H10" s="181"/>
      <c r="I10" s="115"/>
      <c r="J10" s="115"/>
    </row>
    <row r="11" spans="1:9" ht="12.75" customHeight="1">
      <c r="A11" s="49"/>
      <c r="B11" s="49"/>
      <c r="C11" s="49"/>
      <c r="D11" s="49"/>
      <c r="E11" s="56"/>
      <c r="F11" s="56"/>
      <c r="G11" s="54"/>
      <c r="H11" s="54"/>
      <c r="I11" s="54"/>
    </row>
    <row r="12" spans="1:9" ht="38.25">
      <c r="A12" s="58" t="s">
        <v>88</v>
      </c>
      <c r="B12" s="58" t="s">
        <v>84</v>
      </c>
      <c r="C12" s="58" t="s">
        <v>85</v>
      </c>
      <c r="D12" s="58" t="s">
        <v>86</v>
      </c>
      <c r="E12" s="58" t="s">
        <v>124</v>
      </c>
      <c r="F12" s="70"/>
      <c r="G12" s="54"/>
      <c r="H12" s="54"/>
      <c r="I12" s="54"/>
    </row>
    <row r="13" spans="1:9" ht="12.75">
      <c r="A13" s="61">
        <v>36</v>
      </c>
      <c r="B13" s="61">
        <v>9</v>
      </c>
      <c r="C13" s="61">
        <v>4</v>
      </c>
      <c r="D13" s="155">
        <f>A13/B13*C13</f>
        <v>16</v>
      </c>
      <c r="E13" s="61">
        <f>A13*C13</f>
        <v>144</v>
      </c>
      <c r="F13" s="71"/>
      <c r="G13" s="54"/>
      <c r="H13" s="54"/>
      <c r="I13" s="54"/>
    </row>
    <row r="14" spans="1:9" ht="12.75">
      <c r="A14" s="49"/>
      <c r="B14" s="49"/>
      <c r="C14" s="49"/>
      <c r="D14" s="49"/>
      <c r="E14" s="56"/>
      <c r="F14" s="56"/>
      <c r="G14" s="54"/>
      <c r="H14" s="54"/>
      <c r="I14" s="54"/>
    </row>
    <row r="15" spans="1:6" ht="17.25" customHeight="1">
      <c r="A15" s="49"/>
      <c r="B15" s="49"/>
      <c r="C15" s="49"/>
      <c r="D15" s="49"/>
      <c r="E15" s="49"/>
      <c r="F15" s="49"/>
    </row>
    <row r="16" spans="1:10" ht="31.5" customHeight="1">
      <c r="A16" s="58" t="s">
        <v>71</v>
      </c>
      <c r="B16" s="58" t="s">
        <v>63</v>
      </c>
      <c r="C16" s="58" t="s">
        <v>24</v>
      </c>
      <c r="D16" s="58" t="s">
        <v>114</v>
      </c>
      <c r="E16" s="58" t="s">
        <v>115</v>
      </c>
      <c r="F16" s="58" t="s">
        <v>116</v>
      </c>
      <c r="G16" s="58" t="s">
        <v>117</v>
      </c>
      <c r="H16" s="58" t="s">
        <v>109</v>
      </c>
      <c r="I16" s="58" t="s">
        <v>123</v>
      </c>
      <c r="J16" s="58" t="s">
        <v>120</v>
      </c>
    </row>
    <row r="17" spans="1:10" ht="31.5" customHeight="1">
      <c r="A17" s="50" t="s">
        <v>68</v>
      </c>
      <c r="B17" s="50" t="s">
        <v>170</v>
      </c>
      <c r="C17" s="51">
        <v>397.07</v>
      </c>
      <c r="D17" s="77">
        <v>144</v>
      </c>
      <c r="E17" s="77">
        <v>30</v>
      </c>
      <c r="F17" s="52">
        <v>50</v>
      </c>
      <c r="G17" s="51">
        <f>ROUND(C17*D17+C17*D17*E17%+(C17*D17+C17*D17*E17%)*F17%,2)</f>
        <v>111497.26</v>
      </c>
      <c r="H17" s="77">
        <v>9</v>
      </c>
      <c r="I17" s="77">
        <v>70</v>
      </c>
      <c r="J17" s="51">
        <f>ROUND(G17/H17/I17,2)</f>
        <v>176.98</v>
      </c>
    </row>
    <row r="18" spans="1:10" ht="37.5" customHeight="1">
      <c r="A18" s="50" t="s">
        <v>65</v>
      </c>
      <c r="B18" s="50" t="s">
        <v>66</v>
      </c>
      <c r="C18" s="51">
        <f>C19+C20+C21</f>
        <v>52.06</v>
      </c>
      <c r="D18" s="77"/>
      <c r="E18" s="77">
        <v>30</v>
      </c>
      <c r="F18" s="52">
        <v>50</v>
      </c>
      <c r="G18" s="51">
        <f>ROUND(C18*D18+C18*D18*E18%+C18*D18*F18%,2)</f>
        <v>0</v>
      </c>
      <c r="H18" s="77">
        <v>9</v>
      </c>
      <c r="I18" s="77">
        <v>70</v>
      </c>
      <c r="J18" s="51">
        <f aca="true" t="shared" si="0" ref="J18:J25">ROUND(G18/H18/I18,2)</f>
        <v>0</v>
      </c>
    </row>
    <row r="19" spans="1:10" ht="12.75">
      <c r="A19" s="50"/>
      <c r="B19" s="50" t="s">
        <v>7</v>
      </c>
      <c r="C19" s="51">
        <v>46.14</v>
      </c>
      <c r="D19" s="77">
        <v>144</v>
      </c>
      <c r="E19" s="77">
        <v>30</v>
      </c>
      <c r="F19" s="52">
        <v>50</v>
      </c>
      <c r="G19" s="51">
        <f>ROUND(C19*D19+C19*D19*E19%+C19*D19*F19%,2)</f>
        <v>11959.49</v>
      </c>
      <c r="H19" s="77">
        <v>9</v>
      </c>
      <c r="I19" s="77">
        <v>70</v>
      </c>
      <c r="J19" s="51">
        <f t="shared" si="0"/>
        <v>18.98</v>
      </c>
    </row>
    <row r="20" spans="1:10" ht="38.25">
      <c r="A20" s="50"/>
      <c r="B20" s="50" t="s">
        <v>118</v>
      </c>
      <c r="C20" s="51">
        <v>5.92</v>
      </c>
      <c r="D20" s="77"/>
      <c r="E20" s="77">
        <v>30</v>
      </c>
      <c r="F20" s="52">
        <v>50</v>
      </c>
      <c r="G20" s="51">
        <f>ROUND(C20*D20+C20*D20*E20%+C20*D20*F20%,2)</f>
        <v>0</v>
      </c>
      <c r="H20" s="77">
        <v>9</v>
      </c>
      <c r="I20" s="77">
        <v>70</v>
      </c>
      <c r="J20" s="51">
        <f t="shared" si="0"/>
        <v>0</v>
      </c>
    </row>
    <row r="21" spans="1:10" ht="21" customHeight="1">
      <c r="A21" s="50"/>
      <c r="B21" s="50" t="s">
        <v>67</v>
      </c>
      <c r="C21" s="51"/>
      <c r="D21" s="77"/>
      <c r="E21" s="77">
        <v>30</v>
      </c>
      <c r="F21" s="52">
        <v>50</v>
      </c>
      <c r="G21" s="51">
        <f>ROUND(C21*D21+C21*D21*E21%+C21*D21*F21%,2)</f>
        <v>0</v>
      </c>
      <c r="H21" s="77">
        <v>9</v>
      </c>
      <c r="I21" s="77">
        <v>70</v>
      </c>
      <c r="J21" s="51">
        <f t="shared" si="0"/>
        <v>0</v>
      </c>
    </row>
    <row r="22" spans="1:10" ht="23.25" customHeight="1">
      <c r="A22" s="50" t="s">
        <v>1</v>
      </c>
      <c r="B22" s="50"/>
      <c r="C22" s="51">
        <v>21.84</v>
      </c>
      <c r="D22" s="77"/>
      <c r="E22" s="77">
        <v>30</v>
      </c>
      <c r="F22" s="52">
        <v>50</v>
      </c>
      <c r="G22" s="51">
        <f>ROUND(C22*D22+C22*D22*E22%+C22*D22*F22%,2)</f>
        <v>0</v>
      </c>
      <c r="H22" s="77">
        <v>9</v>
      </c>
      <c r="I22" s="77">
        <v>70</v>
      </c>
      <c r="J22" s="51">
        <f>ROUND(G22/H22/I22,2)</f>
        <v>0</v>
      </c>
    </row>
    <row r="23" spans="1:10" ht="12.75">
      <c r="A23" s="50" t="s">
        <v>2</v>
      </c>
      <c r="B23" s="50"/>
      <c r="C23" s="69">
        <f>C24+C25</f>
        <v>2.05</v>
      </c>
      <c r="D23" s="77"/>
      <c r="E23" s="77"/>
      <c r="F23" s="52">
        <v>50</v>
      </c>
      <c r="G23" s="99">
        <f>G24+G25</f>
        <v>0</v>
      </c>
      <c r="H23" s="77">
        <v>9</v>
      </c>
      <c r="I23" s="77">
        <v>70</v>
      </c>
      <c r="J23" s="99">
        <f>J24+J25</f>
        <v>0</v>
      </c>
    </row>
    <row r="24" spans="1:10" ht="18.75" customHeight="1">
      <c r="A24" s="50"/>
      <c r="B24" s="50" t="s">
        <v>91</v>
      </c>
      <c r="C24" s="69">
        <v>1.58</v>
      </c>
      <c r="D24" s="77"/>
      <c r="E24" s="77"/>
      <c r="F24" s="52">
        <v>50</v>
      </c>
      <c r="G24" s="51">
        <f>ROUND(C24*D24+C24*D24*E24%+C24*D24*F24%,2)</f>
        <v>0</v>
      </c>
      <c r="H24" s="77">
        <v>9</v>
      </c>
      <c r="I24" s="77">
        <v>70</v>
      </c>
      <c r="J24" s="51">
        <f t="shared" si="0"/>
        <v>0</v>
      </c>
    </row>
    <row r="25" spans="1:10" ht="18" customHeight="1">
      <c r="A25" s="50"/>
      <c r="B25" s="50" t="s">
        <v>92</v>
      </c>
      <c r="C25" s="69">
        <v>0.47</v>
      </c>
      <c r="D25" s="77"/>
      <c r="E25" s="77"/>
      <c r="F25" s="52">
        <v>50</v>
      </c>
      <c r="G25" s="51">
        <f>ROUND(C25*D25+C25*D25*E25%+C25*D25*F25%,2)</f>
        <v>0</v>
      </c>
      <c r="H25" s="77">
        <v>9</v>
      </c>
      <c r="I25" s="77">
        <v>70</v>
      </c>
      <c r="J25" s="51">
        <f t="shared" si="0"/>
        <v>0</v>
      </c>
    </row>
    <row r="26" spans="1:10" s="93" customFormat="1" ht="12.75" customHeight="1">
      <c r="A26" s="59" t="s">
        <v>0</v>
      </c>
      <c r="B26" s="59"/>
      <c r="C26" s="90"/>
      <c r="D26" s="91"/>
      <c r="E26" s="91"/>
      <c r="F26" s="92"/>
      <c r="G26" s="90">
        <f>G17+G18+G22+G23</f>
        <v>111497.26</v>
      </c>
      <c r="H26" s="90"/>
      <c r="I26" s="90"/>
      <c r="J26" s="90">
        <f>J17+J18+J22+J23</f>
        <v>176.98</v>
      </c>
    </row>
    <row r="27" spans="1:10" ht="16.5" customHeight="1">
      <c r="A27" s="50" t="s">
        <v>121</v>
      </c>
      <c r="B27" s="50"/>
      <c r="C27" s="52"/>
      <c r="D27" s="77"/>
      <c r="E27" s="77"/>
      <c r="F27" s="52"/>
      <c r="G27" s="51"/>
      <c r="H27" s="52"/>
      <c r="I27" s="52"/>
      <c r="J27" s="51">
        <f>ROUND(J28/J26,2)</f>
        <v>2.15</v>
      </c>
    </row>
    <row r="28" spans="1:10" s="93" customFormat="1" ht="12.75">
      <c r="A28" s="94" t="s">
        <v>122</v>
      </c>
      <c r="B28" s="94"/>
      <c r="C28" s="95"/>
      <c r="D28" s="96"/>
      <c r="E28" s="96"/>
      <c r="F28" s="95"/>
      <c r="G28" s="97"/>
      <c r="H28" s="95"/>
      <c r="I28" s="95"/>
      <c r="J28" s="97">
        <v>380</v>
      </c>
    </row>
    <row r="29" spans="7:10" ht="12.75">
      <c r="G29" s="98"/>
      <c r="J29" s="98"/>
    </row>
    <row r="30" spans="7:10" ht="12.75">
      <c r="G30" s="98"/>
      <c r="J30" s="98"/>
    </row>
    <row r="31" spans="1:10" ht="14.25">
      <c r="A31" s="105" t="s">
        <v>132</v>
      </c>
      <c r="B31" s="105"/>
      <c r="C31" s="105"/>
      <c r="D31" s="105"/>
      <c r="E31" s="105"/>
      <c r="F31" s="105"/>
      <c r="G31" s="106"/>
      <c r="H31" s="102"/>
      <c r="J31" s="98"/>
    </row>
    <row r="32" spans="7:10" ht="12.75">
      <c r="G32" s="98"/>
      <c r="J32" s="98"/>
    </row>
    <row r="33" spans="7:10" ht="12.75">
      <c r="G33" s="98"/>
      <c r="J33" s="98"/>
    </row>
    <row r="34" spans="1:10" ht="12.75" customHeight="1">
      <c r="A34" s="58" t="s">
        <v>63</v>
      </c>
      <c r="B34" s="58" t="s">
        <v>110</v>
      </c>
      <c r="C34" s="58" t="s">
        <v>111</v>
      </c>
      <c r="D34" s="58" t="s">
        <v>109</v>
      </c>
      <c r="E34" s="58" t="s">
        <v>112</v>
      </c>
      <c r="F34" s="58" t="s">
        <v>113</v>
      </c>
      <c r="G34" s="60" t="s">
        <v>93</v>
      </c>
      <c r="H34" s="58" t="s">
        <v>94</v>
      </c>
      <c r="J34" s="98"/>
    </row>
    <row r="35" spans="1:10" ht="12.75" customHeight="1">
      <c r="A35" s="50" t="s">
        <v>170</v>
      </c>
      <c r="B35" s="89">
        <f>J28</f>
        <v>380</v>
      </c>
      <c r="C35" s="61">
        <v>35</v>
      </c>
      <c r="D35" s="61">
        <v>9</v>
      </c>
      <c r="E35" s="61">
        <v>70</v>
      </c>
      <c r="F35" s="86">
        <f>ROUND(B35*C35/100*D35*E35/1000,1)</f>
        <v>83.8</v>
      </c>
      <c r="G35" s="86">
        <f>ROUND(F35*27.1%,1)</f>
        <v>22.7</v>
      </c>
      <c r="H35" s="86">
        <f>F35+G35</f>
        <v>106.5</v>
      </c>
      <c r="J35" s="98"/>
    </row>
    <row r="36" spans="1:10" ht="12.75" customHeight="1">
      <c r="A36" s="50" t="s">
        <v>7</v>
      </c>
      <c r="B36" s="89">
        <f>J28</f>
        <v>380</v>
      </c>
      <c r="C36" s="113">
        <v>4</v>
      </c>
      <c r="D36" s="61">
        <v>9</v>
      </c>
      <c r="E36" s="61">
        <v>70</v>
      </c>
      <c r="F36" s="86">
        <f>ROUND(B36*C36/100*D36*E36/1000,1)</f>
        <v>9.6</v>
      </c>
      <c r="G36" s="86">
        <f>ROUND(F36*27.1%,1)</f>
        <v>2.6</v>
      </c>
      <c r="H36" s="86">
        <f>F36+G36</f>
        <v>12.2</v>
      </c>
      <c r="J36" s="98"/>
    </row>
    <row r="37" spans="1:10" ht="12.75" customHeight="1">
      <c r="A37" s="50"/>
      <c r="B37" s="89"/>
      <c r="C37" s="61"/>
      <c r="D37" s="61"/>
      <c r="E37" s="61"/>
      <c r="F37" s="86"/>
      <c r="G37" s="86"/>
      <c r="H37" s="86"/>
      <c r="J37" s="98"/>
    </row>
    <row r="38" spans="1:8" ht="12.75" customHeight="1">
      <c r="A38" s="50"/>
      <c r="B38" s="89"/>
      <c r="C38" s="61"/>
      <c r="D38" s="61"/>
      <c r="E38" s="61"/>
      <c r="F38" s="86"/>
      <c r="G38" s="86"/>
      <c r="H38" s="86"/>
    </row>
    <row r="39" spans="1:8" ht="12.75" customHeight="1">
      <c r="A39" s="50"/>
      <c r="B39" s="89"/>
      <c r="C39" s="61"/>
      <c r="D39" s="61"/>
      <c r="E39" s="61"/>
      <c r="F39" s="86"/>
      <c r="G39" s="86"/>
      <c r="H39" s="86"/>
    </row>
    <row r="40" spans="1:8" ht="12.75" customHeight="1">
      <c r="A40" s="50"/>
      <c r="B40" s="89"/>
      <c r="C40" s="61"/>
      <c r="D40" s="61"/>
      <c r="E40" s="61"/>
      <c r="F40" s="86"/>
      <c r="G40" s="86"/>
      <c r="H40" s="86"/>
    </row>
    <row r="41" spans="1:8" ht="12.75" customHeight="1">
      <c r="A41" s="59"/>
      <c r="B41" s="109"/>
      <c r="C41" s="109"/>
      <c r="D41" s="109"/>
      <c r="E41" s="110"/>
      <c r="F41" s="110">
        <f>SUM(F35:F40)</f>
        <v>93.39999999999999</v>
      </c>
      <c r="G41" s="110">
        <f>SUM(G35:G40)</f>
        <v>25.3</v>
      </c>
      <c r="H41" s="110">
        <f>SUM(H35:H40)</f>
        <v>118.7</v>
      </c>
    </row>
    <row r="42" spans="1:6" ht="22.5" customHeight="1">
      <c r="A42" s="55"/>
      <c r="B42" s="55"/>
      <c r="E42" s="57"/>
      <c r="F42" s="64"/>
    </row>
    <row r="43" spans="1:6" ht="25.5" customHeight="1">
      <c r="A43" s="180" t="s">
        <v>129</v>
      </c>
      <c r="B43" s="180"/>
      <c r="C43" s="180"/>
      <c r="D43" s="82"/>
      <c r="E43" s="82"/>
      <c r="F43" s="64"/>
    </row>
    <row r="44" spans="1:6" ht="12.75">
      <c r="A44" s="49"/>
      <c r="B44" s="49"/>
      <c r="C44" s="49"/>
      <c r="D44" s="56"/>
      <c r="E44" s="56"/>
      <c r="F44" s="64"/>
    </row>
    <row r="45" spans="1:6" ht="38.25">
      <c r="A45" s="58" t="s">
        <v>73</v>
      </c>
      <c r="B45" s="58" t="s">
        <v>72</v>
      </c>
      <c r="C45" s="58" t="s">
        <v>107</v>
      </c>
      <c r="D45" s="58" t="s">
        <v>108</v>
      </c>
      <c r="E45" s="70"/>
      <c r="F45" s="64"/>
    </row>
    <row r="46" spans="1:6" ht="12.75">
      <c r="A46" s="51">
        <f>J28</f>
        <v>380</v>
      </c>
      <c r="B46" s="52">
        <v>70</v>
      </c>
      <c r="C46" s="52">
        <v>9</v>
      </c>
      <c r="D46" s="52">
        <f>ROUND(A46*B46*C46/1000,1)</f>
        <v>239.4</v>
      </c>
      <c r="E46" s="54"/>
      <c r="F46" s="64"/>
    </row>
    <row r="47" spans="1:6" ht="12.75">
      <c r="A47" s="55"/>
      <c r="B47" s="55"/>
      <c r="D47" s="54"/>
      <c r="E47" s="80"/>
      <c r="F47" s="64"/>
    </row>
  </sheetData>
  <sheetProtection/>
  <mergeCells count="7">
    <mergeCell ref="A5:J5"/>
    <mergeCell ref="A6:J6"/>
    <mergeCell ref="A7:J7"/>
    <mergeCell ref="A8:J8"/>
    <mergeCell ref="B10:H10"/>
    <mergeCell ref="A43:C43"/>
    <mergeCell ref="C9:E9"/>
  </mergeCells>
  <printOptions/>
  <pageMargins left="0.28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ED24</dc:creator>
  <cp:keywords/>
  <dc:description/>
  <cp:lastModifiedBy>user</cp:lastModifiedBy>
  <cp:lastPrinted>2017-10-04T07:55:34Z</cp:lastPrinted>
  <dcterms:created xsi:type="dcterms:W3CDTF">2015-03-18T10:12:26Z</dcterms:created>
  <dcterms:modified xsi:type="dcterms:W3CDTF">2019-01-16T08:07:19Z</dcterms:modified>
  <cp:category/>
  <cp:version/>
  <cp:contentType/>
  <cp:contentStatus/>
</cp:coreProperties>
</file>